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1510" windowHeight="11475" activeTab="0"/>
  </bookViews>
  <sheets>
    <sheet name="Flight Plan" sheetId="1" r:id="rId1"/>
    <sheet name="Flight Plan Answers" sheetId="2" r:id="rId2"/>
    <sheet name="Computersied Flight Plan" sheetId="3" r:id="rId3"/>
    <sheet name="Logger Result" sheetId="4" r:id="rId4"/>
    <sheet name="RESULT" sheetId="5" r:id="rId5"/>
  </sheets>
  <externalReferences>
    <externalReference r:id="rId8"/>
  </externalReferences>
  <definedNames>
    <definedName name="IWD" localSheetId="3">'Logger Result'!$A$1:$K$16</definedName>
    <definedName name="IWD_1" localSheetId="3">'Logger Result'!$A$1:$K$16</definedName>
    <definedName name="IWD_10" localSheetId="3">'Logger Result'!$A$1:$K$16</definedName>
    <definedName name="IWD_12" localSheetId="3">'Logger Result'!$A$1:$K$29</definedName>
    <definedName name="IWD_13" localSheetId="3">'Logger Result'!$A$1:$K$29</definedName>
    <definedName name="IWD_14" localSheetId="3">'Logger Result'!$A$1:$K$16</definedName>
    <definedName name="IWD_15" localSheetId="3">'Logger Result'!$A$1:$K$29</definedName>
    <definedName name="IWD_16" localSheetId="3">'Logger Result'!$A$1:$K$27</definedName>
    <definedName name="IWD_17" localSheetId="3">'Logger Result'!$A$1:$K$25</definedName>
    <definedName name="IWD_18" localSheetId="3">'Logger Result'!$A$1:$K$25</definedName>
    <definedName name="IWD_19" localSheetId="3">'Logger Result'!$A$1:$K$21</definedName>
    <definedName name="IWD_2" localSheetId="3">'Logger Result'!$A$1:$K$16</definedName>
    <definedName name="IWD_20" localSheetId="3">'Logger Result'!$A$1:$K$21</definedName>
    <definedName name="IWD_21" localSheetId="3">'Logger Result'!$A$1:$K$21</definedName>
    <definedName name="IWD_3" localSheetId="3">'Logger Result'!$A$1:$K$16</definedName>
    <definedName name="IWD_4" localSheetId="3">'Logger Result'!$A$1:$K$16</definedName>
    <definedName name="IWD_5" localSheetId="3">'Logger Result'!$A$1:$K$16</definedName>
    <definedName name="IWD_6" localSheetId="3">'Logger Result'!$A$1:$K$16</definedName>
    <definedName name="IWD_7" localSheetId="3">'Logger Result'!$A$1:$K$16</definedName>
    <definedName name="IWD_8" localSheetId="3">'Logger Result'!$A$1:$K$16</definedName>
    <definedName name="IWD_9" localSheetId="3">'Logger Result'!$A$1:$K$20</definedName>
    <definedName name="_xlnm.Print_Area" localSheetId="2">'Computersied Flight Plan'!$A$1:$I$30</definedName>
    <definedName name="_xlnm.Print_Area" localSheetId="0">'Flight Plan'!$A$1:$I$30</definedName>
    <definedName name="_xlnm.Print_Area" localSheetId="1">'Flight Plan Answers'!$A$1:$I$30</definedName>
    <definedName name="_xlnm.Print_Area" localSheetId="4">'RESULT'!$A$1:$M$48</definedName>
    <definedName name="Sample" localSheetId="3">'Logger Result'!$A$1:$O$31</definedName>
  </definedNames>
  <calcPr fullCalcOnLoad="1"/>
</workbook>
</file>

<file path=xl/sharedStrings.xml><?xml version="1.0" encoding="utf-8"?>
<sst xmlns="http://schemas.openxmlformats.org/spreadsheetml/2006/main" count="108" uniqueCount="53">
  <si>
    <t>Number</t>
  </si>
  <si>
    <t>Callsign</t>
  </si>
  <si>
    <t>Type</t>
  </si>
  <si>
    <t>Pilot</t>
  </si>
  <si>
    <t>Speed</t>
  </si>
  <si>
    <t>Wind Dir</t>
  </si>
  <si>
    <t>Wind Vel</t>
  </si>
  <si>
    <t>ETA</t>
  </si>
  <si>
    <t>DISTANCE</t>
  </si>
  <si>
    <t>TRACK</t>
  </si>
  <si>
    <t>ATA</t>
  </si>
  <si>
    <t>DIFF/sec</t>
  </si>
  <si>
    <t>TIME</t>
  </si>
  <si>
    <t>NOT OBS.</t>
  </si>
  <si>
    <t>ALT.</t>
  </si>
  <si>
    <t>DRIFT</t>
  </si>
  <si>
    <t>TRUE HDG</t>
  </si>
  <si>
    <t>GND SPEED</t>
  </si>
  <si>
    <t>LEGTIME</t>
  </si>
  <si>
    <t>ACC Time</t>
  </si>
  <si>
    <t>NM</t>
  </si>
  <si>
    <t>MIN ALTITUDE</t>
  </si>
  <si>
    <t>ALTITUDE</t>
  </si>
  <si>
    <t>CP PHOTOS</t>
  </si>
  <si>
    <t>EN ROUTE PHOTOS</t>
  </si>
  <si>
    <t>LANDING 1</t>
  </si>
  <si>
    <t>LANDING 2</t>
  </si>
  <si>
    <t>OTHER</t>
  </si>
  <si>
    <t>GRAND TOTAL</t>
  </si>
  <si>
    <t>Take-off</t>
  </si>
  <si>
    <t>To Start</t>
  </si>
  <si>
    <t>Papers</t>
  </si>
  <si>
    <t>Rules</t>
  </si>
  <si>
    <t>Leg No</t>
  </si>
  <si>
    <t>Leg Dist NM</t>
  </si>
  <si>
    <t>True Track deg</t>
  </si>
  <si>
    <t>True Heading Deg</t>
  </si>
  <si>
    <t>Ground Speed Kts</t>
  </si>
  <si>
    <t>Time on Leg</t>
  </si>
  <si>
    <t>Take Off</t>
  </si>
  <si>
    <t>Time Schedule</t>
  </si>
  <si>
    <t>Hrs:Min:Sec</t>
  </si>
  <si>
    <t>Acc Dist</t>
  </si>
  <si>
    <t>ALT</t>
  </si>
  <si>
    <t>TURN</t>
  </si>
  <si>
    <t>Min:Sec</t>
  </si>
  <si>
    <t>LAST LANDING TIME</t>
  </si>
  <si>
    <t>NAV</t>
  </si>
  <si>
    <t>To LAND</t>
  </si>
  <si>
    <t>TOTAL</t>
  </si>
  <si>
    <t>FLIGHT PLAN - THEORY</t>
  </si>
  <si>
    <t>FLIGHT PLAN - ANSWERS</t>
  </si>
  <si>
    <t>COMPUTERISED
FLIGHT PLAN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</si>
</sst>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[mm]:ss"/>
    <numFmt numFmtId="175" formatCode="0.0"/>
    <numFmt numFmtId="176" formatCode="h:mm:ss\.s"/>
    <numFmt numFmtId="177" formatCode="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ss\.ss"/>
    <numFmt numFmtId="182" formatCode="[$-1C09]dd\ mmmm\ yyyy"/>
    <numFmt numFmtId="183" formatCode="[$-F400]h:mm:ss\ AM/PM"/>
    <numFmt numFmtId="184" formatCode="h:mm:ss.00"/>
  </numFmts>
  <fonts count="4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2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174" fontId="0" fillId="33" borderId="10" xfId="0" applyNumberFormat="1" applyFill="1" applyBorder="1" applyAlignment="1">
      <alignment/>
    </xf>
    <xf numFmtId="17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5" fontId="0" fillId="33" borderId="13" xfId="0" applyNumberFormat="1" applyFill="1" applyBorder="1" applyAlignment="1">
      <alignment horizontal="center"/>
    </xf>
    <xf numFmtId="175" fontId="0" fillId="33" borderId="10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21" fontId="0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176" fontId="0" fillId="0" borderId="0" xfId="0" applyNumberFormat="1" applyAlignment="1">
      <alignment/>
    </xf>
    <xf numFmtId="21" fontId="0" fillId="0" borderId="10" xfId="0" applyNumberFormat="1" applyBorder="1" applyAlignment="1" applyProtection="1">
      <alignment horizontal="center"/>
      <protection locked="0"/>
    </xf>
    <xf numFmtId="21" fontId="0" fillId="0" borderId="10" xfId="0" applyNumberFormat="1" applyFill="1" applyBorder="1" applyAlignment="1" applyProtection="1">
      <alignment horizontal="center"/>
      <protection/>
    </xf>
    <xf numFmtId="21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" fontId="5" fillId="0" borderId="1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47" fontId="0" fillId="34" borderId="10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21" fontId="5" fillId="36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21" fontId="5" fillId="36" borderId="10" xfId="0" applyNumberFormat="1" applyFont="1" applyFill="1" applyBorder="1" applyAlignment="1" quotePrefix="1">
      <alignment horizontal="center"/>
    </xf>
    <xf numFmtId="0" fontId="5" fillId="36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/>
    </xf>
    <xf numFmtId="21" fontId="5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4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35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5" fontId="1" fillId="0" borderId="22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45" fontId="1" fillId="0" borderId="21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21" fontId="1" fillId="0" borderId="13" xfId="0" applyNumberFormat="1" applyFont="1" applyFill="1" applyBorder="1" applyAlignment="1">
      <alignment/>
    </xf>
    <xf numFmtId="45" fontId="1" fillId="0" borderId="24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5" fillId="36" borderId="10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36" borderId="25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/>
    </xf>
    <xf numFmtId="1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5" fillId="0" borderId="12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cision%20Scor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ight Log + Sec"/>
      <sheetName val="Course + Sec"/>
      <sheetName val="MASTER"/>
      <sheetName val="PENALTIES"/>
      <sheetName val="START LIST"/>
      <sheetName val="RESULT"/>
      <sheetName val="FINAL RESULT"/>
    </sheetNames>
    <sheetDataSet>
      <sheetData sheetId="1">
        <row r="1">
          <cell r="A1" t="str">
            <v>WPFC 2011 Training Route 2</v>
          </cell>
        </row>
        <row r="2">
          <cell r="A2">
            <v>40783</v>
          </cell>
        </row>
        <row r="3">
          <cell r="A3" t="str">
            <v>Brits</v>
          </cell>
        </row>
        <row r="4">
          <cell r="A4" t="str">
            <v>Blue</v>
          </cell>
        </row>
        <row r="11">
          <cell r="A11" t="str">
            <v>Leg No</v>
          </cell>
          <cell r="B11" t="str">
            <v>POINT</v>
          </cell>
        </row>
        <row r="12">
          <cell r="B12" t="str">
            <v>TOP:</v>
          </cell>
        </row>
        <row r="13">
          <cell r="B13" t="str">
            <v>LDP:</v>
          </cell>
        </row>
        <row r="14">
          <cell r="B14" t="str">
            <v>Strt:</v>
          </cell>
          <cell r="C14">
            <v>0</v>
          </cell>
          <cell r="D14">
            <v>0</v>
          </cell>
          <cell r="E14">
            <v>3477.6902887139104</v>
          </cell>
        </row>
        <row r="15">
          <cell r="B15" t="str">
            <v>Sec1:</v>
          </cell>
          <cell r="C15">
            <v>1.41792656587473</v>
          </cell>
          <cell r="D15">
            <v>254</v>
          </cell>
        </row>
        <row r="16">
          <cell r="A16">
            <v>1</v>
          </cell>
          <cell r="B16" t="str">
            <v>CP1:</v>
          </cell>
          <cell r="C16">
            <v>4.620410367170626</v>
          </cell>
          <cell r="D16">
            <v>254</v>
          </cell>
          <cell r="E16">
            <v>3974.7375328083986</v>
          </cell>
        </row>
        <row r="17">
          <cell r="B17" t="str">
            <v>Sec2:</v>
          </cell>
          <cell r="C17">
            <v>5.334773218142549</v>
          </cell>
          <cell r="D17">
            <v>327</v>
          </cell>
        </row>
        <row r="18">
          <cell r="B18" t="str">
            <v>Sec3:</v>
          </cell>
          <cell r="C18">
            <v>1.0383369330453565</v>
          </cell>
          <cell r="D18">
            <v>327</v>
          </cell>
        </row>
        <row r="19">
          <cell r="B19" t="str">
            <v>Sec4:</v>
          </cell>
          <cell r="C19">
            <v>0.22354211663066956</v>
          </cell>
          <cell r="D19">
            <v>327</v>
          </cell>
        </row>
        <row r="20">
          <cell r="A20">
            <v>2</v>
          </cell>
          <cell r="B20" t="str">
            <v>CP2:</v>
          </cell>
          <cell r="C20">
            <v>1.681965442764579</v>
          </cell>
          <cell r="D20">
            <v>327</v>
          </cell>
          <cell r="E20">
            <v>3879.2650918635172</v>
          </cell>
        </row>
        <row r="21">
          <cell r="B21" t="str">
            <v>SEC5:</v>
          </cell>
          <cell r="C21">
            <v>8.510259179265658</v>
          </cell>
          <cell r="D21">
            <v>324</v>
          </cell>
        </row>
        <row r="22">
          <cell r="A22">
            <v>3</v>
          </cell>
          <cell r="B22" t="str">
            <v>CP3:</v>
          </cell>
          <cell r="C22">
            <v>4.023758099352052</v>
          </cell>
          <cell r="D22">
            <v>324</v>
          </cell>
          <cell r="E22">
            <v>3838.582677165354</v>
          </cell>
          <cell r="G22">
            <v>0.0006944444444444445</v>
          </cell>
        </row>
        <row r="23">
          <cell r="B23" t="str">
            <v>Sec6:</v>
          </cell>
          <cell r="C23">
            <v>2.352051835853132</v>
          </cell>
          <cell r="D23">
            <v>205</v>
          </cell>
        </row>
        <row r="24">
          <cell r="B24" t="str">
            <v>Sec7:</v>
          </cell>
          <cell r="C24">
            <v>1.3293736501079914</v>
          </cell>
          <cell r="D24">
            <v>205</v>
          </cell>
        </row>
        <row r="25">
          <cell r="B25" t="str">
            <v>Sec8:</v>
          </cell>
          <cell r="C25">
            <v>1.9541036717062634</v>
          </cell>
          <cell r="D25">
            <v>205</v>
          </cell>
        </row>
        <row r="26">
          <cell r="B26" t="str">
            <v>Sec9:</v>
          </cell>
          <cell r="C26">
            <v>8.543196544276459</v>
          </cell>
          <cell r="D26">
            <v>205</v>
          </cell>
        </row>
        <row r="27">
          <cell r="A27">
            <v>4</v>
          </cell>
          <cell r="B27" t="str">
            <v>CP4:</v>
          </cell>
          <cell r="C27">
            <v>1.7651187904967602</v>
          </cell>
          <cell r="D27">
            <v>205</v>
          </cell>
          <cell r="E27">
            <v>1256.8</v>
          </cell>
        </row>
        <row r="28">
          <cell r="B28" t="str">
            <v>Sec10:</v>
          </cell>
          <cell r="C28">
            <v>3.25</v>
          </cell>
          <cell r="D28">
            <v>150</v>
          </cell>
        </row>
        <row r="29">
          <cell r="A29">
            <v>5</v>
          </cell>
          <cell r="B29" t="str">
            <v>CP5:</v>
          </cell>
          <cell r="C29">
            <v>5.0853131749460045</v>
          </cell>
          <cell r="D29">
            <v>150</v>
          </cell>
          <cell r="E29">
            <v>4450.4593175853015</v>
          </cell>
          <cell r="G29">
            <v>0.0006944444444444445</v>
          </cell>
        </row>
        <row r="30">
          <cell r="B30" t="str">
            <v>Sec11:</v>
          </cell>
          <cell r="C30">
            <v>7.2570194384449245</v>
          </cell>
          <cell r="D30">
            <v>15</v>
          </cell>
        </row>
        <row r="31">
          <cell r="A31">
            <v>6</v>
          </cell>
          <cell r="B31" t="str">
            <v>CP6:</v>
          </cell>
          <cell r="C31">
            <v>3.6927645788336934</v>
          </cell>
          <cell r="D31">
            <v>15</v>
          </cell>
          <cell r="E31">
            <v>3559.7112860892385</v>
          </cell>
          <cell r="G31">
            <v>0.0006944444444444445</v>
          </cell>
        </row>
        <row r="32">
          <cell r="B32" t="str">
            <v>Sec12:</v>
          </cell>
          <cell r="C32">
            <v>7.5161987041036715</v>
          </cell>
          <cell r="D32">
            <v>154</v>
          </cell>
        </row>
        <row r="33">
          <cell r="B33" t="str">
            <v>SEC13:</v>
          </cell>
          <cell r="C33">
            <v>2.0026997840172784</v>
          </cell>
          <cell r="D33">
            <v>154</v>
          </cell>
        </row>
        <row r="34">
          <cell r="A34">
            <v>7</v>
          </cell>
          <cell r="B34" t="str">
            <v>CP7:</v>
          </cell>
          <cell r="C34">
            <v>2.6193304535637147</v>
          </cell>
          <cell r="D34">
            <v>154</v>
          </cell>
          <cell r="E34">
            <v>3887.795275590551</v>
          </cell>
        </row>
        <row r="35">
          <cell r="B35" t="str">
            <v>Sec14:</v>
          </cell>
          <cell r="C35">
            <v>5.215982721382289</v>
          </cell>
          <cell r="D35">
            <v>73</v>
          </cell>
        </row>
        <row r="36">
          <cell r="B36" t="str">
            <v>Sec15:</v>
          </cell>
          <cell r="C36">
            <v>5.43304535637149</v>
          </cell>
          <cell r="D36">
            <v>73</v>
          </cell>
        </row>
        <row r="37">
          <cell r="A37">
            <v>8</v>
          </cell>
          <cell r="B37" t="str">
            <v>Fin:</v>
          </cell>
          <cell r="C37">
            <v>0.3126349892008639</v>
          </cell>
          <cell r="D37">
            <v>73</v>
          </cell>
          <cell r="E37">
            <v>3428.477690288714</v>
          </cell>
        </row>
        <row r="38">
          <cell r="B38">
            <v>0</v>
          </cell>
          <cell r="C38">
            <v>0</v>
          </cell>
          <cell r="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</row>
        <row r="45">
          <cell r="D45" t="str">
            <v>NM</v>
          </cell>
        </row>
      </sheetData>
      <sheetData sheetId="2">
        <row r="12">
          <cell r="B12">
            <v>0.004167526455026455</v>
          </cell>
        </row>
        <row r="13">
          <cell r="B13">
            <v>0.006248478835978835</v>
          </cell>
        </row>
      </sheetData>
      <sheetData sheetId="3">
        <row r="13">
          <cell r="C13">
            <v>60</v>
          </cell>
          <cell r="D13">
            <v>200</v>
          </cell>
        </row>
        <row r="15">
          <cell r="C15">
            <v>2</v>
          </cell>
        </row>
        <row r="16">
          <cell r="D16">
            <v>3</v>
          </cell>
          <cell r="E16">
            <v>100</v>
          </cell>
        </row>
        <row r="17">
          <cell r="D17">
            <v>100</v>
          </cell>
        </row>
        <row r="19">
          <cell r="D19">
            <v>200</v>
          </cell>
        </row>
        <row r="21">
          <cell r="D21">
            <v>500</v>
          </cell>
        </row>
        <row r="24">
          <cell r="D24">
            <v>200</v>
          </cell>
        </row>
        <row r="27">
          <cell r="E27">
            <v>200</v>
          </cell>
        </row>
      </sheetData>
      <sheetData sheetId="4">
        <row r="6">
          <cell r="B6">
            <v>1</v>
          </cell>
          <cell r="C6" t="str">
            <v>Frank Eckard</v>
          </cell>
          <cell r="E6" t="str">
            <v>South Africa</v>
          </cell>
          <cell r="F6" t="str">
            <v>C152</v>
          </cell>
          <cell r="G6" t="str">
            <v>ZS-KNH</v>
          </cell>
          <cell r="H6">
            <v>70</v>
          </cell>
          <cell r="I6" t="str">
            <v>Prec</v>
          </cell>
          <cell r="J6">
            <v>0</v>
          </cell>
          <cell r="K6">
            <v>0</v>
          </cell>
          <cell r="L6">
            <v>0.4888888888888889</v>
          </cell>
          <cell r="M6">
            <v>0.5409722222222222</v>
          </cell>
          <cell r="N6">
            <v>0.5451397486772487</v>
          </cell>
          <cell r="O6">
            <v>0.5985372520198384</v>
          </cell>
        </row>
        <row r="7">
          <cell r="B7">
            <v>2</v>
          </cell>
          <cell r="C7" t="str">
            <v>Cally Eckard</v>
          </cell>
          <cell r="E7" t="str">
            <v>South Africa</v>
          </cell>
          <cell r="F7" t="str">
            <v>C172</v>
          </cell>
          <cell r="G7" t="str">
            <v>ZS-MOC</v>
          </cell>
          <cell r="H7">
            <v>70</v>
          </cell>
          <cell r="I7" t="str">
            <v>Prec</v>
          </cell>
          <cell r="J7">
            <v>0</v>
          </cell>
          <cell r="K7">
            <v>0</v>
          </cell>
          <cell r="L7">
            <v>0.4923611111111111</v>
          </cell>
          <cell r="M7">
            <v>0.5444444444444444</v>
          </cell>
          <cell r="N7">
            <v>0.5486119708994709</v>
          </cell>
          <cell r="O7">
            <v>0.6020094742420606</v>
          </cell>
        </row>
        <row r="8">
          <cell r="B8">
            <v>3</v>
          </cell>
          <cell r="C8" t="str">
            <v>Jonty Esser</v>
          </cell>
          <cell r="E8" t="str">
            <v>South Africa</v>
          </cell>
          <cell r="F8" t="str">
            <v>C172</v>
          </cell>
          <cell r="G8" t="str">
            <v>ZS-KLJ</v>
          </cell>
          <cell r="H8">
            <v>70</v>
          </cell>
          <cell r="I8" t="str">
            <v>Prec</v>
          </cell>
          <cell r="J8">
            <v>0</v>
          </cell>
          <cell r="K8">
            <v>0</v>
          </cell>
          <cell r="L8">
            <v>0.4958333333333333</v>
          </cell>
          <cell r="M8">
            <v>0.5479166666666666</v>
          </cell>
          <cell r="N8">
            <v>0.5520841931216931</v>
          </cell>
          <cell r="O8">
            <v>0.6054816964642828</v>
          </cell>
        </row>
        <row r="9">
          <cell r="B9">
            <v>4</v>
          </cell>
          <cell r="J9">
            <v>0</v>
          </cell>
          <cell r="K9">
            <v>0</v>
          </cell>
          <cell r="L9">
            <v>0.4993055555555555</v>
          </cell>
          <cell r="M9">
            <v>0.5513888888888888</v>
          </cell>
          <cell r="N9">
            <v>0.5555564153439153</v>
          </cell>
          <cell r="O9" t="str">
            <v/>
          </cell>
        </row>
        <row r="10">
          <cell r="B10">
            <v>5</v>
          </cell>
          <cell r="J10">
            <v>0</v>
          </cell>
          <cell r="K10">
            <v>0</v>
          </cell>
          <cell r="L10">
            <v>0.5027777777777778</v>
          </cell>
          <cell r="M10">
            <v>0.5548611111111111</v>
          </cell>
          <cell r="N10">
            <v>0.5590286375661376</v>
          </cell>
          <cell r="O10" t="str">
            <v/>
          </cell>
        </row>
        <row r="11">
          <cell r="B11">
            <v>6</v>
          </cell>
          <cell r="J11">
            <v>0</v>
          </cell>
          <cell r="K11">
            <v>0</v>
          </cell>
          <cell r="L11">
            <v>0.50625</v>
          </cell>
          <cell r="M11">
            <v>0.5583333333333333</v>
          </cell>
          <cell r="N11">
            <v>0.5625008597883598</v>
          </cell>
          <cell r="O11" t="str">
            <v/>
          </cell>
        </row>
        <row r="12">
          <cell r="B12">
            <v>7</v>
          </cell>
          <cell r="J12">
            <v>0</v>
          </cell>
          <cell r="K12">
            <v>0</v>
          </cell>
          <cell r="L12">
            <v>0.5097222222222222</v>
          </cell>
          <cell r="M12">
            <v>0.5618055555555556</v>
          </cell>
          <cell r="N12">
            <v>0.565973082010582</v>
          </cell>
          <cell r="O12" t="str">
            <v/>
          </cell>
        </row>
        <row r="13">
          <cell r="B13">
            <v>8</v>
          </cell>
          <cell r="J13">
            <v>0</v>
          </cell>
          <cell r="K13">
            <v>0</v>
          </cell>
          <cell r="L13">
            <v>0.5131944444444444</v>
          </cell>
          <cell r="M13">
            <v>0.5652777777777778</v>
          </cell>
          <cell r="N13">
            <v>0.5694453042328043</v>
          </cell>
          <cell r="O13" t="str">
            <v/>
          </cell>
        </row>
        <row r="14">
          <cell r="B14">
            <v>9</v>
          </cell>
          <cell r="J14">
            <v>0</v>
          </cell>
          <cell r="K14">
            <v>0</v>
          </cell>
          <cell r="L14">
            <v>0.5166666666666666</v>
          </cell>
          <cell r="M14">
            <v>0.56875</v>
          </cell>
          <cell r="N14">
            <v>0.5729175264550265</v>
          </cell>
          <cell r="O14" t="str">
            <v/>
          </cell>
        </row>
        <row r="15">
          <cell r="B15">
            <v>10</v>
          </cell>
          <cell r="J15">
            <v>0</v>
          </cell>
          <cell r="K15">
            <v>0</v>
          </cell>
          <cell r="L15">
            <v>0.5201388888888888</v>
          </cell>
          <cell r="M15">
            <v>0.5722222222222222</v>
          </cell>
          <cell r="N15">
            <v>0.5763897486772487</v>
          </cell>
          <cell r="O15" t="str">
            <v/>
          </cell>
        </row>
        <row r="16">
          <cell r="B16">
            <v>11</v>
          </cell>
          <cell r="J16">
            <v>0</v>
          </cell>
          <cell r="K16">
            <v>0</v>
          </cell>
          <cell r="L16">
            <v>0.523611111111111</v>
          </cell>
          <cell r="M16">
            <v>0.5756944444444444</v>
          </cell>
          <cell r="N16">
            <v>0.5798619708994709</v>
          </cell>
          <cell r="O16" t="str">
            <v/>
          </cell>
        </row>
        <row r="17">
          <cell r="B17">
            <v>12</v>
          </cell>
          <cell r="J17">
            <v>0</v>
          </cell>
          <cell r="K17">
            <v>0</v>
          </cell>
          <cell r="L17">
            <v>0.5270833333333332</v>
          </cell>
          <cell r="M17">
            <v>0.5791666666666666</v>
          </cell>
          <cell r="N17">
            <v>0.5833341931216931</v>
          </cell>
          <cell r="O17" t="str">
            <v/>
          </cell>
        </row>
        <row r="18">
          <cell r="B18">
            <v>13</v>
          </cell>
          <cell r="J18">
            <v>0</v>
          </cell>
          <cell r="K18">
            <v>0</v>
          </cell>
          <cell r="L18">
            <v>0.5305555555555554</v>
          </cell>
          <cell r="M18">
            <v>0.5826388888888888</v>
          </cell>
          <cell r="N18">
            <v>0.5868064153439153</v>
          </cell>
          <cell r="O18" t="str">
            <v/>
          </cell>
        </row>
        <row r="19">
          <cell r="B19">
            <v>14</v>
          </cell>
          <cell r="J19">
            <v>0</v>
          </cell>
          <cell r="K19">
            <v>0</v>
          </cell>
          <cell r="L19">
            <v>0.5340277777777777</v>
          </cell>
          <cell r="M19">
            <v>0.586111111111111</v>
          </cell>
          <cell r="N19">
            <v>0.5902786375661375</v>
          </cell>
          <cell r="O19" t="str">
            <v/>
          </cell>
        </row>
        <row r="20">
          <cell r="B20">
            <v>15</v>
          </cell>
          <cell r="J20">
            <v>0</v>
          </cell>
          <cell r="K20">
            <v>0</v>
          </cell>
          <cell r="L20">
            <v>0.5374999999999999</v>
          </cell>
          <cell r="M20">
            <v>0.5895833333333332</v>
          </cell>
          <cell r="N20">
            <v>0.5937508597883597</v>
          </cell>
          <cell r="O20" t="str">
            <v/>
          </cell>
        </row>
        <row r="21">
          <cell r="B21">
            <v>16</v>
          </cell>
          <cell r="J21">
            <v>0</v>
          </cell>
          <cell r="K21">
            <v>0</v>
          </cell>
          <cell r="L21">
            <v>0.5409722222222221</v>
          </cell>
          <cell r="M21">
            <v>0.5930555555555554</v>
          </cell>
          <cell r="N21">
            <v>0.5972230820105819</v>
          </cell>
          <cell r="O21" t="str">
            <v/>
          </cell>
        </row>
        <row r="22">
          <cell r="B22">
            <v>17</v>
          </cell>
          <cell r="J22">
            <v>0</v>
          </cell>
          <cell r="K22">
            <v>0</v>
          </cell>
          <cell r="L22">
            <v>0.5444444444444443</v>
          </cell>
          <cell r="M22">
            <v>0.5965277777777777</v>
          </cell>
          <cell r="N22">
            <v>0.6006953042328042</v>
          </cell>
          <cell r="O22" t="str">
            <v/>
          </cell>
        </row>
        <row r="23">
          <cell r="B23">
            <v>18</v>
          </cell>
          <cell r="J23">
            <v>0</v>
          </cell>
          <cell r="K23">
            <v>0</v>
          </cell>
          <cell r="L23">
            <v>0.5479166666666665</v>
          </cell>
          <cell r="M23">
            <v>0.5999999999999999</v>
          </cell>
          <cell r="N23">
            <v>0.6041675264550264</v>
          </cell>
          <cell r="O23" t="str">
            <v/>
          </cell>
        </row>
        <row r="24">
          <cell r="B24">
            <v>19</v>
          </cell>
          <cell r="J24">
            <v>0</v>
          </cell>
          <cell r="K24">
            <v>0</v>
          </cell>
          <cell r="L24">
            <v>0.5513888888888887</v>
          </cell>
          <cell r="M24">
            <v>0.6034722222222221</v>
          </cell>
          <cell r="N24">
            <v>0.6076397486772486</v>
          </cell>
          <cell r="O24" t="str">
            <v/>
          </cell>
        </row>
        <row r="25">
          <cell r="B25">
            <v>20</v>
          </cell>
          <cell r="J25">
            <v>0</v>
          </cell>
          <cell r="K25">
            <v>0</v>
          </cell>
          <cell r="L25">
            <v>0.5548611111111109</v>
          </cell>
          <cell r="M25">
            <v>0.6069444444444443</v>
          </cell>
          <cell r="N25">
            <v>0.6111119708994708</v>
          </cell>
          <cell r="O25" t="str">
            <v/>
          </cell>
        </row>
        <row r="26">
          <cell r="J26">
            <v>0</v>
          </cell>
          <cell r="K26">
            <v>0</v>
          </cell>
          <cell r="L26">
            <v>0.5583333333333331</v>
          </cell>
          <cell r="M26">
            <v>0.6104166666666665</v>
          </cell>
          <cell r="N26">
            <v>0.614584193121693</v>
          </cell>
          <cell r="O26" t="str">
            <v/>
          </cell>
        </row>
        <row r="27">
          <cell r="J27">
            <v>0</v>
          </cell>
          <cell r="K27">
            <v>0</v>
          </cell>
          <cell r="L27">
            <v>0.5618055555555553</v>
          </cell>
          <cell r="M27">
            <v>0.6138888888888887</v>
          </cell>
          <cell r="N27">
            <v>0.6180564153439152</v>
          </cell>
          <cell r="O27" t="str">
            <v/>
          </cell>
        </row>
        <row r="28">
          <cell r="J28">
            <v>0</v>
          </cell>
          <cell r="K28">
            <v>0</v>
          </cell>
          <cell r="L28">
            <v>0.5652777777777775</v>
          </cell>
          <cell r="M28">
            <v>0.6173611111111109</v>
          </cell>
          <cell r="N28">
            <v>0.6215286375661374</v>
          </cell>
          <cell r="O28" t="str">
            <v/>
          </cell>
        </row>
        <row r="29">
          <cell r="J29">
            <v>0</v>
          </cell>
          <cell r="K29">
            <v>0</v>
          </cell>
          <cell r="L29">
            <v>0.5687499999999998</v>
          </cell>
          <cell r="M29">
            <v>0.6208333333333331</v>
          </cell>
          <cell r="N29">
            <v>0.6250008597883596</v>
          </cell>
          <cell r="O29" t="str">
            <v/>
          </cell>
        </row>
        <row r="30">
          <cell r="J30">
            <v>0</v>
          </cell>
          <cell r="K30">
            <v>0</v>
          </cell>
          <cell r="L30">
            <v>0.572222222222222</v>
          </cell>
          <cell r="M30">
            <v>0.6243055555555553</v>
          </cell>
          <cell r="N30">
            <v>0.6284730820105818</v>
          </cell>
          <cell r="O30" t="str">
            <v/>
          </cell>
        </row>
        <row r="31">
          <cell r="J31">
            <v>0</v>
          </cell>
          <cell r="K31">
            <v>0</v>
          </cell>
          <cell r="L31">
            <v>0.5756944444444442</v>
          </cell>
          <cell r="M31">
            <v>0.6277777777777775</v>
          </cell>
          <cell r="N31">
            <v>0.631945304232804</v>
          </cell>
          <cell r="O31" t="str">
            <v/>
          </cell>
        </row>
        <row r="32">
          <cell r="J32">
            <v>0</v>
          </cell>
          <cell r="K32">
            <v>0</v>
          </cell>
          <cell r="L32">
            <v>0.5791666666666664</v>
          </cell>
          <cell r="M32">
            <v>0.6312499999999998</v>
          </cell>
          <cell r="N32">
            <v>0.6354175264550262</v>
          </cell>
          <cell r="O32" t="str">
            <v/>
          </cell>
        </row>
        <row r="33">
          <cell r="J33">
            <v>0</v>
          </cell>
          <cell r="K33">
            <v>0</v>
          </cell>
          <cell r="L33">
            <v>0.5826388888888886</v>
          </cell>
          <cell r="M33">
            <v>0.634722222222222</v>
          </cell>
          <cell r="N33">
            <v>0.6388897486772485</v>
          </cell>
          <cell r="O33" t="str">
            <v/>
          </cell>
        </row>
        <row r="34">
          <cell r="J34">
            <v>0</v>
          </cell>
          <cell r="K34">
            <v>0</v>
          </cell>
          <cell r="L34">
            <v>0.5861111111111108</v>
          </cell>
          <cell r="M34">
            <v>0.6381944444444442</v>
          </cell>
          <cell r="N34">
            <v>0.6423619708994707</v>
          </cell>
          <cell r="O34" t="str">
            <v/>
          </cell>
        </row>
        <row r="35">
          <cell r="J35">
            <v>0</v>
          </cell>
          <cell r="K35">
            <v>0</v>
          </cell>
          <cell r="L35">
            <v>0.589583333333333</v>
          </cell>
          <cell r="M35">
            <v>0.6416666666666664</v>
          </cell>
          <cell r="N35">
            <v>0.6458341931216929</v>
          </cell>
          <cell r="O35" t="str">
            <v/>
          </cell>
        </row>
        <row r="36">
          <cell r="C36" t="str">
            <v>NOTE: DO NOT MOVE/COPY/PASTE ITEMS IN THESE FIELDS - IT MUST BE RETYPED</v>
          </cell>
        </row>
        <row r="37">
          <cell r="N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32"/>
  <sheetViews>
    <sheetView tabSelected="1" zoomScale="92" zoomScaleNormal="92" zoomScalePageLayoutView="0" workbookViewId="0" topLeftCell="A1">
      <selection activeCell="B6" sqref="B6"/>
    </sheetView>
  </sheetViews>
  <sheetFormatPr defaultColWidth="9.140625" defaultRowHeight="12.75"/>
  <cols>
    <col min="1" max="1" width="10.421875" style="0" customWidth="1"/>
    <col min="2" max="2" width="10.28125" style="0" bestFit="1" customWidth="1"/>
    <col min="6" max="6" width="11.8515625" style="0" customWidth="1"/>
    <col min="7" max="7" width="9.7109375" style="75" customWidth="1"/>
    <col min="8" max="8" width="15.7109375" style="0" customWidth="1"/>
    <col min="9" max="9" width="12.00390625" style="0" customWidth="1"/>
  </cols>
  <sheetData>
    <row r="1" spans="1:9" s="72" customFormat="1" ht="20.25">
      <c r="A1" s="123" t="str">
        <f>+'[1]Course + Sec'!$A$1</f>
        <v>WPFC 2011 Training Route 2</v>
      </c>
      <c r="B1" s="123"/>
      <c r="C1" s="123"/>
      <c r="D1" s="123"/>
      <c r="E1" s="123"/>
      <c r="F1" s="123"/>
      <c r="G1" s="123"/>
      <c r="H1" s="123"/>
      <c r="I1" s="123"/>
    </row>
    <row r="2" spans="1:9" s="73" customFormat="1" ht="18">
      <c r="A2" s="124">
        <f>+'[1]Course + Sec'!$A$2</f>
        <v>40783</v>
      </c>
      <c r="B2" s="124"/>
      <c r="C2" s="124"/>
      <c r="D2" s="124"/>
      <c r="E2" s="124"/>
      <c r="F2" s="124"/>
      <c r="G2" s="124"/>
      <c r="H2" s="124"/>
      <c r="I2" s="124"/>
    </row>
    <row r="3" spans="1:9" s="73" customFormat="1" ht="18">
      <c r="A3" s="125" t="str">
        <f>+'[1]Course + Sec'!$A$3</f>
        <v>Brits</v>
      </c>
      <c r="B3" s="125"/>
      <c r="C3" s="125"/>
      <c r="D3" s="125"/>
      <c r="E3" s="125"/>
      <c r="F3" s="125"/>
      <c r="G3" s="125"/>
      <c r="H3" s="125"/>
      <c r="I3" s="125"/>
    </row>
    <row r="4" spans="1:9" s="73" customFormat="1" ht="18">
      <c r="A4" s="125" t="str">
        <f>+'[1]Course + Sec'!$A$4</f>
        <v>Blue</v>
      </c>
      <c r="B4" s="125"/>
      <c r="C4" s="125"/>
      <c r="D4" s="125"/>
      <c r="E4" s="125"/>
      <c r="F4" s="125"/>
      <c r="G4" s="125"/>
      <c r="H4" s="125"/>
      <c r="I4" s="125"/>
    </row>
    <row r="5" spans="1:9" ht="15.75">
      <c r="A5" s="66" t="s">
        <v>32</v>
      </c>
      <c r="B5" s="126" t="e">
        <f>VLOOKUP($B$6,'[1]START LIST'!$B$6:$O$56,8)</f>
        <v>#N/A</v>
      </c>
      <c r="C5" s="126"/>
      <c r="D5" s="127" t="s">
        <v>50</v>
      </c>
      <c r="E5" s="128"/>
      <c r="F5" s="129"/>
      <c r="G5" s="24" t="s">
        <v>31</v>
      </c>
      <c r="H5" s="62" t="e">
        <f>VLOOKUP($B$6,'[1]START LIST'!$B$6:$O$56,11)</f>
        <v>#N/A</v>
      </c>
      <c r="I5" s="43"/>
    </row>
    <row r="6" spans="1:9" ht="15.75">
      <c r="A6" s="49" t="s">
        <v>0</v>
      </c>
      <c r="B6" s="67">
        <v>0</v>
      </c>
      <c r="C6" s="43"/>
      <c r="D6" s="130"/>
      <c r="E6" s="130"/>
      <c r="F6" s="131"/>
      <c r="G6" s="59" t="s">
        <v>39</v>
      </c>
      <c r="H6" s="74" t="e">
        <f>+H11</f>
        <v>#N/A</v>
      </c>
      <c r="I6" s="43"/>
    </row>
    <row r="7" spans="1:9" ht="15.75">
      <c r="A7" s="49" t="s">
        <v>3</v>
      </c>
      <c r="B7" s="119" t="e">
        <f>VLOOKUP($B$6,'[1]START LIST'!$B$6:$O$56,2)</f>
        <v>#N/A</v>
      </c>
      <c r="C7" s="119"/>
      <c r="D7" s="119"/>
      <c r="E7" s="119"/>
      <c r="F7" s="119"/>
      <c r="G7" s="24" t="s">
        <v>30</v>
      </c>
      <c r="H7" s="68">
        <f>'[1]MASTER'!$B$12</f>
        <v>0.004167526455026455</v>
      </c>
      <c r="I7" s="43"/>
    </row>
    <row r="8" spans="1:9" ht="15.75">
      <c r="A8" s="49" t="s">
        <v>1</v>
      </c>
      <c r="B8" s="120" t="e">
        <f>VLOOKUP($B$6,'[1]START LIST'!$B$6:$O$56,6)</f>
        <v>#N/A</v>
      </c>
      <c r="C8" s="121"/>
      <c r="D8" s="122"/>
      <c r="E8" s="70" t="s">
        <v>2</v>
      </c>
      <c r="F8" s="69" t="e">
        <f>VLOOKUP($B$6,'[1]START LIST'!$B$6:$O$56,5)</f>
        <v>#N/A</v>
      </c>
      <c r="G8" s="88"/>
      <c r="H8" s="43"/>
      <c r="I8" s="43"/>
    </row>
    <row r="9" spans="1:9" ht="15.75">
      <c r="A9" s="49" t="s">
        <v>4</v>
      </c>
      <c r="B9" s="71" t="e">
        <f>VLOOKUP($B$6,'[1]START LIST'!$B$6:$O$56,7)</f>
        <v>#N/A</v>
      </c>
      <c r="C9" s="43"/>
      <c r="D9" s="43"/>
      <c r="E9" s="43"/>
      <c r="F9" s="43"/>
      <c r="G9" s="88"/>
      <c r="H9" s="61" t="s">
        <v>40</v>
      </c>
      <c r="I9" s="43"/>
    </row>
    <row r="10" spans="1:9" ht="15.75">
      <c r="A10" s="49" t="s">
        <v>5</v>
      </c>
      <c r="B10" s="21" t="e">
        <f>VLOOKUP($B$6,'[1]START LIST'!$B$6:$O$56,9)</f>
        <v>#N/A</v>
      </c>
      <c r="C10" s="50" t="s">
        <v>6</v>
      </c>
      <c r="D10" s="21" t="e">
        <f>VLOOKUP($B$6,'[1]START LIST'!$B$6:$O$56,10)</f>
        <v>#N/A</v>
      </c>
      <c r="E10" s="43"/>
      <c r="F10" s="43"/>
      <c r="G10" s="88"/>
      <c r="H10" s="1" t="s">
        <v>41</v>
      </c>
      <c r="I10" s="43"/>
    </row>
    <row r="11" spans="1:9" ht="15" customHeight="1">
      <c r="A11" s="133" t="s">
        <v>33</v>
      </c>
      <c r="B11" s="133" t="s">
        <v>34</v>
      </c>
      <c r="C11" s="133" t="s">
        <v>35</v>
      </c>
      <c r="D11" s="134" t="s">
        <v>36</v>
      </c>
      <c r="E11" s="134" t="s">
        <v>37</v>
      </c>
      <c r="F11" s="21" t="s">
        <v>38</v>
      </c>
      <c r="G11" s="1" t="s">
        <v>39</v>
      </c>
      <c r="H11" s="62" t="e">
        <f>VLOOKUP($B$6,'[1]START LIST'!$B$6:$O$56,12)</f>
        <v>#N/A</v>
      </c>
      <c r="I11" s="132" t="s">
        <v>21</v>
      </c>
    </row>
    <row r="12" spans="1:9" ht="27.75" customHeight="1">
      <c r="A12" s="133"/>
      <c r="B12" s="133"/>
      <c r="C12" s="133"/>
      <c r="D12" s="134"/>
      <c r="E12" s="134"/>
      <c r="F12" s="63" t="s">
        <v>45</v>
      </c>
      <c r="G12" s="21" t="str">
        <f>+RESULT!B14</f>
        <v>Strt:</v>
      </c>
      <c r="H12" s="3" t="e">
        <f>+RESULT!C14</f>
        <v>#N/A</v>
      </c>
      <c r="I12" s="132"/>
    </row>
    <row r="13" spans="1:9" ht="15">
      <c r="A13" s="21">
        <v>1</v>
      </c>
      <c r="B13" s="64">
        <f>IF(A13="_","",ROUND(VLOOKUP(A13,RESULT!$A$14:$W$41,15,FALSE),1))</f>
        <v>6</v>
      </c>
      <c r="C13" s="13"/>
      <c r="D13" s="13"/>
      <c r="E13" s="64"/>
      <c r="F13" s="87"/>
      <c r="G13" s="21" t="str">
        <f>+IF(A13="","",+IF(A13="_","",VLOOKUP(A13,RESULT!$A$14:$W$41,2,FALSE)))</f>
        <v>CP1:</v>
      </c>
      <c r="H13" s="65"/>
      <c r="I13" s="13"/>
    </row>
    <row r="14" spans="1:9" ht="15">
      <c r="A14" s="21">
        <f>IF(A13="","",+IF(A13="_",+A12+1,+IF(VLOOKUP(A13,RESULT!$A$14:$W$41,21,FALSE)&gt;0,"_",IF(A13+1&gt;RESULT!$A$42,"",+A13+1))))</f>
        <v>2</v>
      </c>
      <c r="B14" s="64">
        <f>IF(A14="","",+IF(A14="_","One",ROUND(VLOOKUP(A14,RESULT!$A$14:$W$41,15,FALSE)-+IF(A13="_",VLOOKUP(A12,RESULT!$A$14:$W$41,15,FALSE),VLOOKUP(A13,RESULT!$A$14:$W$41,15,FALSE)),1)))</f>
        <v>8.3</v>
      </c>
      <c r="C14" s="13">
        <f>+IF(A14="_","Minute",+IF($B$32="Y","",+IF(A14="","",+IF(A14="_","Minute",""))))</f>
      </c>
      <c r="D14" s="13">
        <f>+IF(A14="_","Turn",+IF(A14="","",+IF(A14="_","Turn","")))</f>
      </c>
      <c r="E14" s="64"/>
      <c r="F14" s="87"/>
      <c r="G14" s="21" t="str">
        <f>+IF(A14="","",+IF(A14="_","",VLOOKUP(A14,RESULT!$A$14:$W$41,2,FALSE)))</f>
        <v>CP2:</v>
      </c>
      <c r="H14" s="65"/>
      <c r="I14" s="13"/>
    </row>
    <row r="15" spans="1:9" ht="15">
      <c r="A15" s="21">
        <f>IF(A14="","",+IF(A14="_",+A13+1,+IF(VLOOKUP(A14,RESULT!$A$14:$W$41,21,FALSE)&gt;0,"_",IF(A14+1&gt;RESULT!$A$42,"",+A14+1))))</f>
        <v>3</v>
      </c>
      <c r="B15" s="64">
        <f>IF(A15="","",+IF(A15="_","One",ROUND(VLOOKUP(A15,RESULT!$A$14:$W$41,15,FALSE)-+IF(A14="_",VLOOKUP(A13,RESULT!$A$14:$W$41,15,FALSE),VLOOKUP(A14,RESULT!$A$14:$W$41,15,FALSE)),1)))</f>
        <v>12.5</v>
      </c>
      <c r="C15" s="13">
        <f aca="true" t="shared" si="0" ref="C15:C29">+IF(A15="_","Minute",+IF($B$32="Y","",+IF(A15="","",+IF(A15="_","Minute",""))))</f>
      </c>
      <c r="D15" s="13">
        <f aca="true" t="shared" si="1" ref="D15:D29">+IF(A15="_","Turn",+IF(A15="","",+IF(A15="_","Turn","")))</f>
      </c>
      <c r="E15" s="64"/>
      <c r="F15" s="87"/>
      <c r="G15" s="21" t="str">
        <f>+IF(A15="","",+IF(A15="_","",VLOOKUP(A15,RESULT!$A$14:$W$41,2,FALSE)))</f>
        <v>CP3:</v>
      </c>
      <c r="H15" s="65"/>
      <c r="I15" s="13"/>
    </row>
    <row r="16" spans="1:9" ht="15">
      <c r="A16" s="21" t="str">
        <f>IF(A15="","",+IF(A15="_",+A14+1,+IF(VLOOKUP(A15,RESULT!$A$14:$W$41,21,FALSE)&gt;0,"_",IF(A15+1&gt;RESULT!$A$42,"",+A15+1))))</f>
        <v>_</v>
      </c>
      <c r="B16" s="64" t="str">
        <f>IF(A16="","",+IF(A16="_","One",ROUND(VLOOKUP(A16,RESULT!$A$14:$W$41,15,FALSE)-+IF(A15="_",VLOOKUP(A14,RESULT!$A$14:$W$41,15,FALSE),VLOOKUP(A15,RESULT!$A$14:$W$41,15,FALSE)),1)))</f>
        <v>One</v>
      </c>
      <c r="C16" s="13" t="str">
        <f t="shared" si="0"/>
        <v>Minute</v>
      </c>
      <c r="D16" s="13" t="str">
        <f t="shared" si="1"/>
        <v>Turn</v>
      </c>
      <c r="E16" s="64"/>
      <c r="F16" s="87"/>
      <c r="G16" s="21">
        <f>+IF(A16="","",+IF(A16="_","",VLOOKUP(A16,RESULT!$A$14:$W$41,2,FALSE)))</f>
      </c>
      <c r="H16" s="65"/>
      <c r="I16" s="13"/>
    </row>
    <row r="17" spans="1:9" ht="15">
      <c r="A17" s="21">
        <f>IF(A16="","",+IF(A16="_",+A15+1,+IF(VLOOKUP(A16,RESULT!$A$14:$W$41,21,FALSE)&gt;0,"_",IF(A16+1&gt;RESULT!$A$42,"",+A16+1))))</f>
        <v>4</v>
      </c>
      <c r="B17" s="64">
        <f>IF(A17="","",+IF(A17="_","One",ROUND(VLOOKUP(A17,RESULT!$A$14:$W$41,15,FALSE)-+IF(A16="_",VLOOKUP(A15,RESULT!$A$14:$W$41,15,FALSE),VLOOKUP(A16,RESULT!$A$14:$W$41,15,FALSE)),1)))</f>
        <v>15.9</v>
      </c>
      <c r="C17" s="13">
        <f t="shared" si="0"/>
      </c>
      <c r="D17" s="13">
        <f t="shared" si="1"/>
      </c>
      <c r="E17" s="64"/>
      <c r="F17" s="87"/>
      <c r="G17" s="21" t="str">
        <f>+IF(A17="","",+IF(A17="_","",VLOOKUP(A17,RESULT!$A$14:$W$41,2,FALSE)))</f>
        <v>CP4:</v>
      </c>
      <c r="H17" s="65"/>
      <c r="I17" s="13"/>
    </row>
    <row r="18" spans="1:9" ht="15">
      <c r="A18" s="21">
        <f>IF(A17="","",+IF(A17="_",+A16+1,+IF(VLOOKUP(A17,RESULT!$A$14:$W$41,21,FALSE)&gt;0,"_",IF(A17+1&gt;RESULT!$A$42,"",+A17+1))))</f>
        <v>5</v>
      </c>
      <c r="B18" s="64">
        <f>IF(A18="","",+IF(A18="_","One",ROUND(VLOOKUP(A18,RESULT!$A$14:$W$41,15,FALSE)-+IF(A17="_",VLOOKUP(A16,RESULT!$A$14:$W$41,15,FALSE),VLOOKUP(A17,RESULT!$A$14:$W$41,15,FALSE)),1)))</f>
        <v>8.3</v>
      </c>
      <c r="C18" s="13">
        <f t="shared" si="0"/>
      </c>
      <c r="D18" s="13">
        <f t="shared" si="1"/>
      </c>
      <c r="E18" s="64"/>
      <c r="F18" s="87"/>
      <c r="G18" s="21" t="str">
        <f>+IF(A18="","",+IF(A18="_","",VLOOKUP(A18,RESULT!$A$14:$W$41,2,FALSE)))</f>
        <v>CP5:</v>
      </c>
      <c r="H18" s="65"/>
      <c r="I18" s="13"/>
    </row>
    <row r="19" spans="1:9" ht="15">
      <c r="A19" s="21" t="str">
        <f>IF(A18="","",+IF(A18="_",+A17+1,+IF(VLOOKUP(A18,RESULT!$A$14:$W$41,21,FALSE)&gt;0,"_",IF(A18+1&gt;RESULT!$A$42,"",+A18+1))))</f>
        <v>_</v>
      </c>
      <c r="B19" s="64" t="str">
        <f>IF(A19="","",+IF(A19="_","One",ROUND(VLOOKUP(A19,RESULT!$A$14:$W$41,15,FALSE)-+IF(A18="_",VLOOKUP(A17,RESULT!$A$14:$W$41,15,FALSE),VLOOKUP(A18,RESULT!$A$14:$W$41,15,FALSE)),1)))</f>
        <v>One</v>
      </c>
      <c r="C19" s="13" t="str">
        <f t="shared" si="0"/>
        <v>Minute</v>
      </c>
      <c r="D19" s="13" t="str">
        <f t="shared" si="1"/>
        <v>Turn</v>
      </c>
      <c r="E19" s="64"/>
      <c r="F19" s="87"/>
      <c r="G19" s="21">
        <f>+IF(A19="","",+IF(A19="_","",VLOOKUP(A19,RESULT!$A$14:$W$41,2,FALSE)))</f>
      </c>
      <c r="H19" s="65"/>
      <c r="I19" s="13"/>
    </row>
    <row r="20" spans="1:9" ht="15">
      <c r="A20" s="21">
        <f>IF(A19="","",+IF(A19="_",+A18+1,+IF(VLOOKUP(A19,RESULT!$A$14:$W$41,21,FALSE)&gt;0,"_",IF(A19+1&gt;RESULT!$A$42,"",+A19+1))))</f>
        <v>6</v>
      </c>
      <c r="B20" s="64">
        <f>IF(A20="","",+IF(A20="_","One",ROUND(VLOOKUP(A20,RESULT!$A$14:$W$41,15,FALSE)-+IF(A19="_",VLOOKUP(A18,RESULT!$A$14:$W$41,15,FALSE),VLOOKUP(A19,RESULT!$A$14:$W$41,15,FALSE)),1)))</f>
        <v>10.9</v>
      </c>
      <c r="C20" s="13">
        <f t="shared" si="0"/>
      </c>
      <c r="D20" s="13">
        <f t="shared" si="1"/>
      </c>
      <c r="E20" s="64"/>
      <c r="F20" s="87"/>
      <c r="G20" s="21" t="str">
        <f>+IF(A20="","",+IF(A20="_","",VLOOKUP(A20,RESULT!$A$14:$W$41,2,FALSE)))</f>
        <v>CP6:</v>
      </c>
      <c r="H20" s="65"/>
      <c r="I20" s="13"/>
    </row>
    <row r="21" spans="1:9" ht="15">
      <c r="A21" s="21" t="str">
        <f>IF(A20="","",+IF(A20="_",+A19+1,+IF(VLOOKUP(A20,RESULT!$A$14:$W$41,21,FALSE)&gt;0,"_",IF(A20+1&gt;RESULT!$A$42,"",+A20+1))))</f>
        <v>_</v>
      </c>
      <c r="B21" s="64" t="str">
        <f>IF(A21="","",+IF(A21="_","One",ROUND(VLOOKUP(A21,RESULT!$A$14:$W$41,15,FALSE)-+IF(A20="_",VLOOKUP(A19,RESULT!$A$14:$W$41,15,FALSE),VLOOKUP(A20,RESULT!$A$14:$W$41,15,FALSE)),1)))</f>
        <v>One</v>
      </c>
      <c r="C21" s="13" t="str">
        <f t="shared" si="0"/>
        <v>Minute</v>
      </c>
      <c r="D21" s="13" t="str">
        <f t="shared" si="1"/>
        <v>Turn</v>
      </c>
      <c r="E21" s="64"/>
      <c r="F21" s="87"/>
      <c r="G21" s="21">
        <f>+IF(A21="","",+IF(A21="_","",VLOOKUP(A21,RESULT!$A$14:$W$41,2,FALSE)))</f>
      </c>
      <c r="H21" s="65"/>
      <c r="I21" s="13"/>
    </row>
    <row r="22" spans="1:9" ht="15">
      <c r="A22" s="21">
        <f>IF(A21="","",+IF(A21="_",+A20+1,+IF(VLOOKUP(A21,RESULT!$A$14:$W$41,21,FALSE)&gt;0,"_",IF(A21+1&gt;RESULT!$A$42,"",+A21+1))))</f>
        <v>7</v>
      </c>
      <c r="B22" s="64">
        <f>IF(A22="","",+IF(A22="_","One",ROUND(VLOOKUP(A22,RESULT!$A$14:$W$41,15,FALSE)-+IF(A21="_",VLOOKUP(A20,RESULT!$A$14:$W$41,15,FALSE),VLOOKUP(A21,RESULT!$A$14:$W$41,15,FALSE)),1)))</f>
        <v>12.1</v>
      </c>
      <c r="C22" s="13">
        <f t="shared" si="0"/>
      </c>
      <c r="D22" s="13">
        <f t="shared" si="1"/>
      </c>
      <c r="E22" s="64"/>
      <c r="F22" s="87"/>
      <c r="G22" s="21" t="str">
        <f>+IF(A22="","",+IF(A22="_","",VLOOKUP(A22,RESULT!$A$14:$W$41,2,FALSE)))</f>
        <v>CP7:</v>
      </c>
      <c r="H22" s="65"/>
      <c r="I22" s="13"/>
    </row>
    <row r="23" spans="1:9" ht="15">
      <c r="A23" s="21">
        <f>IF(A22="","",+IF(A22="_",+A21+1,+IF(VLOOKUP(A22,RESULT!$A$14:$W$41,21,FALSE)&gt;0,"_",IF(A22+1&gt;RESULT!$A$42,"",+A22+1))))</f>
        <v>8</v>
      </c>
      <c r="B23" s="64">
        <f>IF(A23="","",+IF(A23="_","One",ROUND(VLOOKUP(A23,RESULT!$A$14:$W$41,15,FALSE)-+IF(A22="_",VLOOKUP(A21,RESULT!$A$14:$W$41,15,FALSE),VLOOKUP(A22,RESULT!$A$14:$W$41,15,FALSE)),1)))</f>
        <v>11</v>
      </c>
      <c r="C23" s="13">
        <f t="shared" si="0"/>
      </c>
      <c r="D23" s="13">
        <f t="shared" si="1"/>
      </c>
      <c r="E23" s="64"/>
      <c r="F23" s="87"/>
      <c r="G23" s="21" t="str">
        <f>+IF(A23="","",+IF(A23="_","",VLOOKUP(A23,RESULT!$A$14:$W$41,2,FALSE)))</f>
        <v>Fin:</v>
      </c>
      <c r="H23" s="65"/>
      <c r="I23" s="13"/>
    </row>
    <row r="24" spans="1:9" ht="15">
      <c r="A24" s="21">
        <f>IF(A23="","",+IF(A23="_",+A22+1,+IF(VLOOKUP(A23,RESULT!$A$14:$W$41,21,FALSE)&gt;0,"_",IF(A23+1&gt;RESULT!$A$42,"",+A23+1))))</f>
      </c>
      <c r="B24" s="64">
        <f>IF(A24="","",+IF(A24="_","One",ROUND(VLOOKUP(A24,RESULT!$A$14:$W$41,15,FALSE)-+IF(A23="_",VLOOKUP(A22,RESULT!$A$14:$W$41,15,FALSE),VLOOKUP(A23,RESULT!$A$14:$W$41,15,FALSE)),1)))</f>
      </c>
      <c r="C24" s="13">
        <f t="shared" si="0"/>
      </c>
      <c r="D24" s="13">
        <f t="shared" si="1"/>
      </c>
      <c r="E24" s="64"/>
      <c r="F24" s="87"/>
      <c r="G24" s="21">
        <f>+IF(A24="","",+IF(A24="_","",VLOOKUP(A24,RESULT!$A$14:$W$41,2,FALSE)))</f>
      </c>
      <c r="H24" s="65"/>
      <c r="I24" s="13"/>
    </row>
    <row r="25" spans="1:9" ht="15">
      <c r="A25" s="21">
        <f>IF(A24="","",+IF(A24="_",+A23+1,+IF(VLOOKUP(A24,RESULT!$A$14:$W$41,21,FALSE)&gt;0,"_",IF(A24+1&gt;RESULT!$A$42,"",+A24+1))))</f>
      </c>
      <c r="B25" s="64">
        <f>IF(A25="","",+IF(A25="_","One",ROUND(VLOOKUP(A25,RESULT!$A$14:$W$41,15,FALSE)-+IF(A24="_",VLOOKUP(A23,RESULT!$A$14:$W$41,15,FALSE),VLOOKUP(A24,RESULT!$A$14:$W$41,15,FALSE)),1)))</f>
      </c>
      <c r="C25" s="13">
        <f t="shared" si="0"/>
      </c>
      <c r="D25" s="13">
        <f t="shared" si="1"/>
      </c>
      <c r="E25" s="64"/>
      <c r="F25" s="87"/>
      <c r="G25" s="21">
        <f>+IF(A25="","",+IF(A25="_","",VLOOKUP(A25,RESULT!$A$14:$W$41,2,FALSE)))</f>
      </c>
      <c r="H25" s="65"/>
      <c r="I25" s="13"/>
    </row>
    <row r="26" spans="1:9" ht="15">
      <c r="A26" s="21">
        <f>IF(A25="","",+IF(A25="_",+A24+1,+IF(VLOOKUP(A25,RESULT!$A$14:$W$41,21,FALSE)&gt;0,"_",IF(A25+1&gt;RESULT!$A$42,"",+A25+1))))</f>
      </c>
      <c r="B26" s="64">
        <f>IF(A26="","",+IF(A26="_","One",ROUND(VLOOKUP(A26,RESULT!$A$14:$W$41,15,FALSE)-+IF(A25="_",VLOOKUP(A24,RESULT!$A$14:$W$41,15,FALSE),VLOOKUP(A25,RESULT!$A$14:$W$41,15,FALSE)),1)))</f>
      </c>
      <c r="C26" s="13">
        <f t="shared" si="0"/>
      </c>
      <c r="D26" s="13">
        <f t="shared" si="1"/>
      </c>
      <c r="E26" s="64"/>
      <c r="F26" s="87"/>
      <c r="G26" s="21">
        <f>+IF(A26="","",+IF(A26="_","",VLOOKUP(A26,RESULT!$A$14:$W$41,2,FALSE)))</f>
      </c>
      <c r="H26" s="65"/>
      <c r="I26" s="13"/>
    </row>
    <row r="27" spans="1:9" ht="15">
      <c r="A27" s="21">
        <f>IF(A26="","",+IF(A26="_",+A25+1,+IF(VLOOKUP(A26,RESULT!$A$14:$W$41,21,FALSE)&gt;0,"_",IF(A26+1&gt;RESULT!$A$42,"",+A26+1))))</f>
      </c>
      <c r="B27" s="64">
        <f>IF(A27="","",+IF(A27="_","One",ROUND(VLOOKUP(A27,RESULT!$A$14:$W$41,15,FALSE)-+IF(A26="_",VLOOKUP(A25,RESULT!$A$14:$W$41,15,FALSE),VLOOKUP(A26,RESULT!$A$14:$W$41,15,FALSE)),1)))</f>
      </c>
      <c r="C27" s="13">
        <f t="shared" si="0"/>
      </c>
      <c r="D27" s="13">
        <f t="shared" si="1"/>
      </c>
      <c r="E27" s="64"/>
      <c r="F27" s="87"/>
      <c r="G27" s="21">
        <f>+IF(A27="","",+IF(A27="_","",VLOOKUP(A27,RESULT!$A$14:$W$41,2,FALSE)))</f>
      </c>
      <c r="H27" s="65"/>
      <c r="I27" s="13"/>
    </row>
    <row r="28" spans="1:9" ht="15">
      <c r="A28" s="21">
        <f>IF(A27="","",+IF(A27="_",+A26+1,+IF(VLOOKUP(A27,RESULT!$A$14:$W$41,21,FALSE)&gt;0,"_",IF(A27+1&gt;RESULT!$A$42,"",+A27+1))))</f>
      </c>
      <c r="B28" s="64">
        <f>IF(A28="","",+IF(A28="_","One",ROUND(VLOOKUP(A28,RESULT!$A$14:$W$41,15,FALSE)-+IF(A27="_",VLOOKUP(A26,RESULT!$A$14:$W$41,15,FALSE),VLOOKUP(A27,RESULT!$A$14:$W$41,15,FALSE)),1)))</f>
      </c>
      <c r="C28" s="13">
        <f t="shared" si="0"/>
      </c>
      <c r="D28" s="13">
        <f t="shared" si="1"/>
      </c>
      <c r="E28" s="64"/>
      <c r="F28" s="87"/>
      <c r="G28" s="21">
        <f>+IF(A28="","",+IF(A28="_","",VLOOKUP(A28,RESULT!$A$14:$W$41,2,FALSE)))</f>
      </c>
      <c r="H28" s="65"/>
      <c r="I28" s="13"/>
    </row>
    <row r="29" spans="1:9" ht="15">
      <c r="A29" s="21">
        <f>IF(A28="","",+IF(A28="_",+A27+1,+IF(VLOOKUP(A28,RESULT!$A$14:$W$41,21,FALSE)&gt;0,"_",IF(A28+1&gt;RESULT!$A$42,"",+A28+1))))</f>
      </c>
      <c r="B29" s="64">
        <f>IF(A29="","",+IF(A29="_","One",ROUND(VLOOKUP(A29,RESULT!$A$14:$W$41,15,FALSE)-+IF(A28="_",VLOOKUP(A27,RESULT!$A$14:$W$41,15,FALSE),VLOOKUP(A28,RESULT!$A$14:$W$41,15,FALSE)),1)))</f>
      </c>
      <c r="C29" s="13">
        <f t="shared" si="0"/>
      </c>
      <c r="D29" s="13">
        <f t="shared" si="1"/>
      </c>
      <c r="E29" s="64"/>
      <c r="F29" s="87"/>
      <c r="G29" s="21">
        <f>+IF(A29="","",+IF(A29="_","",VLOOKUP(A29,RESULT!$A$14:$W$41,2,FALSE)))</f>
      </c>
      <c r="H29" s="65"/>
      <c r="I29" s="13"/>
    </row>
    <row r="30" spans="1:9" ht="15.75">
      <c r="A30" s="2" t="s">
        <v>46</v>
      </c>
      <c r="B30" s="2"/>
      <c r="C30" s="2"/>
      <c r="D30" s="2"/>
      <c r="E30" s="2"/>
      <c r="F30" s="90">
        <f>IF($B$32="Y","",+'[1]MASTER'!$B$13)</f>
        <v>0.006248478835978835</v>
      </c>
      <c r="G30" s="21"/>
      <c r="H30" s="89"/>
      <c r="I30" s="51"/>
    </row>
    <row r="31" ht="12.75">
      <c r="A31" s="48"/>
    </row>
    <row r="32" spans="1:2" ht="12.75">
      <c r="A32" s="48"/>
      <c r="B32" s="48"/>
    </row>
  </sheetData>
  <sheetProtection/>
  <mergeCells count="14">
    <mergeCell ref="I11:I12"/>
    <mergeCell ref="A11:A12"/>
    <mergeCell ref="B11:B12"/>
    <mergeCell ref="C11:C12"/>
    <mergeCell ref="D11:D12"/>
    <mergeCell ref="E11:E12"/>
    <mergeCell ref="B7:F7"/>
    <mergeCell ref="B8:D8"/>
    <mergeCell ref="A1:I1"/>
    <mergeCell ref="A2:I2"/>
    <mergeCell ref="A3:I3"/>
    <mergeCell ref="A4:I4"/>
    <mergeCell ref="B5:C5"/>
    <mergeCell ref="D5:F6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2"/>
  <sheetViews>
    <sheetView zoomScale="92" zoomScaleNormal="92" zoomScalePageLayoutView="0" workbookViewId="0" topLeftCell="A1">
      <selection activeCell="B6" sqref="B6"/>
    </sheetView>
  </sheetViews>
  <sheetFormatPr defaultColWidth="9.140625" defaultRowHeight="12.75"/>
  <cols>
    <col min="1" max="1" width="10.421875" style="0" customWidth="1"/>
    <col min="2" max="2" width="10.28125" style="0" bestFit="1" customWidth="1"/>
    <col min="6" max="6" width="11.8515625" style="0" customWidth="1"/>
    <col min="7" max="7" width="9.7109375" style="75" customWidth="1"/>
    <col min="8" max="8" width="15.7109375" style="0" customWidth="1"/>
    <col min="9" max="9" width="12.00390625" style="0" customWidth="1"/>
  </cols>
  <sheetData>
    <row r="1" spans="1:9" s="72" customFormat="1" ht="20.25">
      <c r="A1" s="123" t="str">
        <f>+'[1]Course + Sec'!$A$1</f>
        <v>WPFC 2011 Training Route 2</v>
      </c>
      <c r="B1" s="123"/>
      <c r="C1" s="123"/>
      <c r="D1" s="123"/>
      <c r="E1" s="123"/>
      <c r="F1" s="123"/>
      <c r="G1" s="123"/>
      <c r="H1" s="123"/>
      <c r="I1" s="123"/>
    </row>
    <row r="2" spans="1:9" s="73" customFormat="1" ht="18">
      <c r="A2" s="124">
        <f>+'[1]Course + Sec'!$A$2</f>
        <v>40783</v>
      </c>
      <c r="B2" s="124"/>
      <c r="C2" s="124"/>
      <c r="D2" s="124"/>
      <c r="E2" s="124"/>
      <c r="F2" s="124"/>
      <c r="G2" s="124"/>
      <c r="H2" s="124"/>
      <c r="I2" s="124"/>
    </row>
    <row r="3" spans="1:9" s="73" customFormat="1" ht="18">
      <c r="A3" s="125" t="str">
        <f>+'[1]Course + Sec'!$A$3</f>
        <v>Brits</v>
      </c>
      <c r="B3" s="125"/>
      <c r="C3" s="125"/>
      <c r="D3" s="125"/>
      <c r="E3" s="125"/>
      <c r="F3" s="125"/>
      <c r="G3" s="125"/>
      <c r="H3" s="125"/>
      <c r="I3" s="125"/>
    </row>
    <row r="4" spans="1:9" s="73" customFormat="1" ht="18">
      <c r="A4" s="125" t="str">
        <f>+'[1]Course + Sec'!$A$4</f>
        <v>Blue</v>
      </c>
      <c r="B4" s="125"/>
      <c r="C4" s="125"/>
      <c r="D4" s="125"/>
      <c r="E4" s="125"/>
      <c r="F4" s="125"/>
      <c r="G4" s="125"/>
      <c r="H4" s="125"/>
      <c r="I4" s="125"/>
    </row>
    <row r="5" spans="1:9" ht="15.75">
      <c r="A5" s="66" t="s">
        <v>32</v>
      </c>
      <c r="B5" s="126" t="e">
        <f>VLOOKUP($B$6,'[1]START LIST'!$B$6:$O$56,8)</f>
        <v>#N/A</v>
      </c>
      <c r="C5" s="126"/>
      <c r="D5" s="127" t="s">
        <v>51</v>
      </c>
      <c r="E5" s="128"/>
      <c r="F5" s="129"/>
      <c r="G5" s="24" t="s">
        <v>31</v>
      </c>
      <c r="H5" s="62" t="e">
        <f>VLOOKUP($B$6,'[1]START LIST'!$B$6:$O$56,11)</f>
        <v>#N/A</v>
      </c>
      <c r="I5" s="43"/>
    </row>
    <row r="6" spans="1:9" ht="15.75">
      <c r="A6" s="49" t="s">
        <v>0</v>
      </c>
      <c r="B6" s="67">
        <f>+'Flight Plan'!B6</f>
        <v>0</v>
      </c>
      <c r="C6" s="43"/>
      <c r="D6" s="130"/>
      <c r="E6" s="130"/>
      <c r="F6" s="131"/>
      <c r="G6" s="59" t="s">
        <v>39</v>
      </c>
      <c r="H6" s="74" t="e">
        <f>+H11</f>
        <v>#N/A</v>
      </c>
      <c r="I6" s="43"/>
    </row>
    <row r="7" spans="1:9" ht="15.75">
      <c r="A7" s="49" t="s">
        <v>3</v>
      </c>
      <c r="B7" s="119" t="e">
        <f>VLOOKUP($B$6,'[1]START LIST'!$B$6:$O$56,2)</f>
        <v>#N/A</v>
      </c>
      <c r="C7" s="119"/>
      <c r="D7" s="119"/>
      <c r="E7" s="119"/>
      <c r="F7" s="119"/>
      <c r="G7" s="24" t="s">
        <v>30</v>
      </c>
      <c r="H7" s="68">
        <f>'[1]MASTER'!$B$12</f>
        <v>0.004167526455026455</v>
      </c>
      <c r="I7" s="43"/>
    </row>
    <row r="8" spans="1:9" ht="15.75">
      <c r="A8" s="49" t="s">
        <v>1</v>
      </c>
      <c r="B8" s="120" t="e">
        <f>VLOOKUP($B$6,'[1]START LIST'!$B$6:$O$56,6)</f>
        <v>#N/A</v>
      </c>
      <c r="C8" s="121"/>
      <c r="D8" s="122"/>
      <c r="E8" s="70" t="s">
        <v>2</v>
      </c>
      <c r="F8" s="69" t="e">
        <f>VLOOKUP($B$6,'[1]START LIST'!$B$6:$O$56,5)</f>
        <v>#N/A</v>
      </c>
      <c r="G8" s="88"/>
      <c r="H8" s="43"/>
      <c r="I8" s="43"/>
    </row>
    <row r="9" spans="1:9" ht="15.75">
      <c r="A9" s="49" t="s">
        <v>4</v>
      </c>
      <c r="B9" s="71" t="e">
        <f>VLOOKUP($B$6,'[1]START LIST'!$B$6:$O$56,7)</f>
        <v>#N/A</v>
      </c>
      <c r="C9" s="43"/>
      <c r="D9" s="43"/>
      <c r="E9" s="43"/>
      <c r="F9" s="43"/>
      <c r="G9" s="88"/>
      <c r="H9" s="61" t="s">
        <v>40</v>
      </c>
      <c r="I9" s="43"/>
    </row>
    <row r="10" spans="1:9" ht="16.5" thickBot="1">
      <c r="A10" s="49" t="s">
        <v>5</v>
      </c>
      <c r="B10" s="21" t="e">
        <f>VLOOKUP($B$6,'[1]START LIST'!$B$6:$O$56,9)</f>
        <v>#N/A</v>
      </c>
      <c r="C10" s="50" t="s">
        <v>6</v>
      </c>
      <c r="D10" s="106" t="e">
        <f>VLOOKUP($B$6,'[1]START LIST'!$B$6:$O$56,10)</f>
        <v>#N/A</v>
      </c>
      <c r="E10" s="43"/>
      <c r="F10" s="43"/>
      <c r="G10" s="88"/>
      <c r="H10" s="1" t="s">
        <v>41</v>
      </c>
      <c r="I10" s="43"/>
    </row>
    <row r="11" spans="1:9" ht="15" customHeight="1">
      <c r="A11" s="133" t="s">
        <v>33</v>
      </c>
      <c r="B11" s="133" t="s">
        <v>34</v>
      </c>
      <c r="C11" s="135" t="s">
        <v>35</v>
      </c>
      <c r="D11" s="136" t="s">
        <v>36</v>
      </c>
      <c r="E11" s="138" t="s">
        <v>37</v>
      </c>
      <c r="F11" s="112" t="s">
        <v>38</v>
      </c>
      <c r="G11" s="110" t="s">
        <v>39</v>
      </c>
      <c r="H11" s="62" t="e">
        <f>VLOOKUP($B$6,'[1]START LIST'!$B$6:$O$56,12)</f>
        <v>#N/A</v>
      </c>
      <c r="I11" s="132" t="s">
        <v>21</v>
      </c>
    </row>
    <row r="12" spans="1:9" ht="27.75" customHeight="1">
      <c r="A12" s="133"/>
      <c r="B12" s="133"/>
      <c r="C12" s="135"/>
      <c r="D12" s="137"/>
      <c r="E12" s="138"/>
      <c r="F12" s="113" t="s">
        <v>45</v>
      </c>
      <c r="G12" s="111" t="str">
        <f>+RESULT!B14</f>
        <v>Strt:</v>
      </c>
      <c r="H12" s="3" t="e">
        <f>+RESULT!C14</f>
        <v>#N/A</v>
      </c>
      <c r="I12" s="132"/>
    </row>
    <row r="13" spans="1:9" ht="15">
      <c r="A13" s="21">
        <v>1</v>
      </c>
      <c r="B13" s="64">
        <f>IF(A13="_","",ROUND(VLOOKUP(A13,RESULT!$A$14:$W$41,15,FALSE),1))</f>
        <v>6</v>
      </c>
      <c r="C13" s="104">
        <f>+IF(A13="_","",VLOOKUP(A13,RESULT!$A$14:$W$41,16,FALSE))</f>
        <v>254</v>
      </c>
      <c r="D13" s="107" t="e">
        <f>+IF(A13="_","",VLOOKUP(A13,RESULT!$A$14:$W$41,18,FALSE))</f>
        <v>#N/A</v>
      </c>
      <c r="E13" s="108" t="e">
        <f>+IF(A13="_","",VLOOKUP(A13,RESULT!$A$14:$W$41,19,FALSE))</f>
        <v>#N/A</v>
      </c>
      <c r="F13" s="114" t="e">
        <f>+B13/E13/24</f>
        <v>#N/A</v>
      </c>
      <c r="G13" s="111" t="str">
        <f>+IF(A13="","",+IF(A13="_","",VLOOKUP(A13,RESULT!$A$14:$W$41,2,FALSE)))</f>
        <v>CP1:</v>
      </c>
      <c r="H13" s="65"/>
      <c r="I13" s="13"/>
    </row>
    <row r="14" spans="1:9" ht="15">
      <c r="A14" s="21">
        <f>IF(A13="","",+IF(A13="_",+A12+1,+IF(VLOOKUP(A13,RESULT!$A$14:$W$41,21,FALSE)&gt;0,"_",IF(A13+1&gt;RESULT!$A$42,"",+A13+1))))</f>
        <v>2</v>
      </c>
      <c r="B14" s="64">
        <f>IF(A14="","",+IF(A14="_","One",ROUND(VLOOKUP(A14,RESULT!$A$14:$W$41,15,FALSE)-+IF(A13="_",VLOOKUP(A12,RESULT!$A$14:$W$41,15,FALSE),VLOOKUP(A13,RESULT!$A$14:$W$41,15,FALSE)),1)))</f>
        <v>8.3</v>
      </c>
      <c r="C14" s="104">
        <f>+IF(A14="_","Minute",+IF(A14="","",+IF(A14="_","Minute",VLOOKUP(A14,RESULT!$A$14:$W$41,16,FALSE))))</f>
        <v>327</v>
      </c>
      <c r="D14" s="107" t="e">
        <f>+IF(A14="_","Turn",+IF(A14="","",+IF(A14="_","Turn",VLOOKUP(A14,RESULT!$A$14:$W$41,18,FALSE))))</f>
        <v>#N/A</v>
      </c>
      <c r="E14" s="108" t="e">
        <f>+IF(A14="","",+IF(A14="_","",VLOOKUP(A14,RESULT!$A$14:$W$41,19,FALSE)))</f>
        <v>#N/A</v>
      </c>
      <c r="F14" s="114" t="e">
        <f>+IF(A14="_",1/60/24,+IF(A14="","",+IF(A14="_",1/60/24,+B14/E14/24)))</f>
        <v>#N/A</v>
      </c>
      <c r="G14" s="111" t="str">
        <f>+IF(A14="","",+IF(A14="_","",VLOOKUP(A14,RESULT!$A$14:$W$41,2,FALSE)))</f>
        <v>CP2:</v>
      </c>
      <c r="H14" s="65"/>
      <c r="I14" s="13"/>
    </row>
    <row r="15" spans="1:9" ht="15">
      <c r="A15" s="21">
        <f>IF(A14="","",+IF(A14="_",+A13+1,+IF(VLOOKUP(A14,RESULT!$A$14:$W$41,21,FALSE)&gt;0,"_",IF(A14+1&gt;RESULT!$A$42,"",+A14+1))))</f>
        <v>3</v>
      </c>
      <c r="B15" s="64">
        <f>IF(A15="","",+IF(A15="_","One",ROUND(VLOOKUP(A15,RESULT!$A$14:$W$41,15,FALSE)-+IF(A14="_",VLOOKUP(A13,RESULT!$A$14:$W$41,15,FALSE),VLOOKUP(A14,RESULT!$A$14:$W$41,15,FALSE)),1)))</f>
        <v>12.5</v>
      </c>
      <c r="C15" s="104">
        <f>+IF(A15="_","Minute",+IF(A15="","",+IF(A15="_","Minute",VLOOKUP(A15,RESULT!$A$14:$W$41,16,FALSE))))</f>
        <v>324</v>
      </c>
      <c r="D15" s="107" t="e">
        <f>+IF(A15="_","Turn",+IF(A15="","",+IF(A15="_","Turn",VLOOKUP(A15,RESULT!$A$14:$W$41,18,FALSE))))</f>
        <v>#N/A</v>
      </c>
      <c r="E15" s="108" t="e">
        <f>+IF(A15="","",+IF(A15="_","",VLOOKUP(A15,RESULT!$A$14:$W$41,19,FALSE)))</f>
        <v>#N/A</v>
      </c>
      <c r="F15" s="114" t="e">
        <f aca="true" t="shared" si="0" ref="F15:F29">+IF(A15="_",1/60/24,+IF(A15="","",+IF(A15="_",1/60/24,+B15/E15/24)))</f>
        <v>#N/A</v>
      </c>
      <c r="G15" s="111" t="str">
        <f>+IF(A15="","",+IF(A15="_","",VLOOKUP(A15,RESULT!$A$14:$W$41,2,FALSE)))</f>
        <v>CP3:</v>
      </c>
      <c r="H15" s="65"/>
      <c r="I15" s="13"/>
    </row>
    <row r="16" spans="1:9" ht="15">
      <c r="A16" s="21" t="str">
        <f>IF(A15="","",+IF(A15="_",+A14+1,+IF(VLOOKUP(A15,RESULT!$A$14:$W$41,21,FALSE)&gt;0,"_",IF(A15+1&gt;RESULT!$A$42,"",+A15+1))))</f>
        <v>_</v>
      </c>
      <c r="B16" s="64" t="str">
        <f>IF(A16="","",+IF(A16="_","One",ROUND(VLOOKUP(A16,RESULT!$A$14:$W$41,15,FALSE)-+IF(A15="_",VLOOKUP(A14,RESULT!$A$14:$W$41,15,FALSE),VLOOKUP(A15,RESULT!$A$14:$W$41,15,FALSE)),1)))</f>
        <v>One</v>
      </c>
      <c r="C16" s="104" t="str">
        <f>+IF(A16="_","Minute",+IF(A16="","",+IF(A16="_","Minute",VLOOKUP(A16,RESULT!$A$14:$W$41,16,FALSE))))</f>
        <v>Minute</v>
      </c>
      <c r="D16" s="107" t="str">
        <f>+IF(A16="_","Turn",+IF(A16="","",+IF(A16="_","Turn",VLOOKUP(A16,RESULT!$A$14:$W$41,18,FALSE))))</f>
        <v>Turn</v>
      </c>
      <c r="E16" s="108">
        <f>+IF(A16="","",+IF(A16="_","",VLOOKUP(A16,RESULT!$A$14:$W$41,19,FALSE)))</f>
      </c>
      <c r="F16" s="114">
        <f t="shared" si="0"/>
        <v>0.0006944444444444445</v>
      </c>
      <c r="G16" s="111">
        <f>+IF(A16="","",+IF(A16="_","",VLOOKUP(A16,RESULT!$A$14:$W$41,2,FALSE)))</f>
      </c>
      <c r="H16" s="65"/>
      <c r="I16" s="13"/>
    </row>
    <row r="17" spans="1:9" ht="15">
      <c r="A17" s="21">
        <f>IF(A16="","",+IF(A16="_",+A15+1,+IF(VLOOKUP(A16,RESULT!$A$14:$W$41,21,FALSE)&gt;0,"_",IF(A16+1&gt;RESULT!$A$42,"",+A16+1))))</f>
        <v>4</v>
      </c>
      <c r="B17" s="64">
        <f>IF(A17="","",+IF(A17="_","One",ROUND(VLOOKUP(A17,RESULT!$A$14:$W$41,15,FALSE)-+IF(A16="_",VLOOKUP(A15,RESULT!$A$14:$W$41,15,FALSE),VLOOKUP(A16,RESULT!$A$14:$W$41,15,FALSE)),1)))</f>
        <v>15.9</v>
      </c>
      <c r="C17" s="104">
        <f>+IF(A17="_","Minute",+IF(A17="","",+IF(A17="_","Minute",VLOOKUP(A17,RESULT!$A$14:$W$41,16,FALSE))))</f>
        <v>205</v>
      </c>
      <c r="D17" s="107" t="e">
        <f>+IF(A17="_","Turn",+IF(A17="","",+IF(A17="_","Turn",VLOOKUP(A17,RESULT!$A$14:$W$41,18,FALSE))))</f>
        <v>#N/A</v>
      </c>
      <c r="E17" s="108" t="e">
        <f>+IF(A17="","",+IF(A17="_","",VLOOKUP(A17,RESULT!$A$14:$W$41,19,FALSE)))</f>
        <v>#N/A</v>
      </c>
      <c r="F17" s="114" t="e">
        <f t="shared" si="0"/>
        <v>#N/A</v>
      </c>
      <c r="G17" s="111" t="str">
        <f>+IF(A17="","",+IF(A17="_","",VLOOKUP(A17,RESULT!$A$14:$W$41,2,FALSE)))</f>
        <v>CP4:</v>
      </c>
      <c r="H17" s="65"/>
      <c r="I17" s="13"/>
    </row>
    <row r="18" spans="1:9" ht="15">
      <c r="A18" s="21">
        <f>IF(A17="","",+IF(A17="_",+A16+1,+IF(VLOOKUP(A17,RESULT!$A$14:$W$41,21,FALSE)&gt;0,"_",IF(A17+1&gt;RESULT!$A$42,"",+A17+1))))</f>
        <v>5</v>
      </c>
      <c r="B18" s="64">
        <f>IF(A18="","",+IF(A18="_","One",ROUND(VLOOKUP(A18,RESULT!$A$14:$W$41,15,FALSE)-+IF(A17="_",VLOOKUP(A16,RESULT!$A$14:$W$41,15,FALSE),VLOOKUP(A17,RESULT!$A$14:$W$41,15,FALSE)),1)))</f>
        <v>8.3</v>
      </c>
      <c r="C18" s="104">
        <f>+IF(A18="_","Minute",+IF(A18="","",+IF(A18="_","Minute",VLOOKUP(A18,RESULT!$A$14:$W$41,16,FALSE))))</f>
        <v>150</v>
      </c>
      <c r="D18" s="107" t="e">
        <f>+IF(A18="_","Turn",+IF(A18="","",+IF(A18="_","Turn",VLOOKUP(A18,RESULT!$A$14:$W$41,18,FALSE))))</f>
        <v>#N/A</v>
      </c>
      <c r="E18" s="108" t="e">
        <f>+IF(A18="","",+IF(A18="_","",VLOOKUP(A18,RESULT!$A$14:$W$41,19,FALSE)))</f>
        <v>#N/A</v>
      </c>
      <c r="F18" s="114" t="e">
        <f t="shared" si="0"/>
        <v>#N/A</v>
      </c>
      <c r="G18" s="111" t="str">
        <f>+IF(A18="","",+IF(A18="_","",VLOOKUP(A18,RESULT!$A$14:$W$41,2,FALSE)))</f>
        <v>CP5:</v>
      </c>
      <c r="H18" s="65"/>
      <c r="I18" s="13"/>
    </row>
    <row r="19" spans="1:9" ht="15">
      <c r="A19" s="21" t="str">
        <f>IF(A18="","",+IF(A18="_",+A17+1,+IF(VLOOKUP(A18,RESULT!$A$14:$W$41,21,FALSE)&gt;0,"_",IF(A18+1&gt;RESULT!$A$42,"",+A18+1))))</f>
        <v>_</v>
      </c>
      <c r="B19" s="64" t="str">
        <f>IF(A19="","",+IF(A19="_","One",ROUND(VLOOKUP(A19,RESULT!$A$14:$W$41,15,FALSE)-+IF(A18="_",VLOOKUP(A17,RESULT!$A$14:$W$41,15,FALSE),VLOOKUP(A18,RESULT!$A$14:$W$41,15,FALSE)),1)))</f>
        <v>One</v>
      </c>
      <c r="C19" s="104" t="str">
        <f>+IF(A19="_","Minute",+IF(A19="","",+IF(A19="_","Minute",VLOOKUP(A19,RESULT!$A$14:$W$41,16,FALSE))))</f>
        <v>Minute</v>
      </c>
      <c r="D19" s="107" t="str">
        <f>+IF(A19="_","Turn",+IF(A19="","",+IF(A19="_","Turn",VLOOKUP(A19,RESULT!$A$14:$W$41,18,FALSE))))</f>
        <v>Turn</v>
      </c>
      <c r="E19" s="108">
        <f>+IF(A19="","",+IF(A19="_","",VLOOKUP(A19,RESULT!$A$14:$W$41,19,FALSE)))</f>
      </c>
      <c r="F19" s="114">
        <f t="shared" si="0"/>
        <v>0.0006944444444444445</v>
      </c>
      <c r="G19" s="111">
        <f>+IF(A19="","",+IF(A19="_","",VLOOKUP(A19,RESULT!$A$14:$W$41,2,FALSE)))</f>
      </c>
      <c r="H19" s="65"/>
      <c r="I19" s="13"/>
    </row>
    <row r="20" spans="1:9" ht="15">
      <c r="A20" s="21">
        <f>IF(A19="","",+IF(A19="_",+A18+1,+IF(VLOOKUP(A19,RESULT!$A$14:$W$41,21,FALSE)&gt;0,"_",IF(A19+1&gt;RESULT!$A$42,"",+A19+1))))</f>
        <v>6</v>
      </c>
      <c r="B20" s="64">
        <f>IF(A20="","",+IF(A20="_","One",ROUND(VLOOKUP(A20,RESULT!$A$14:$W$41,15,FALSE)-+IF(A19="_",VLOOKUP(A18,RESULT!$A$14:$W$41,15,FALSE),VLOOKUP(A19,RESULT!$A$14:$W$41,15,FALSE)),1)))</f>
        <v>10.9</v>
      </c>
      <c r="C20" s="104">
        <f>+IF(A20="_","Minute",+IF(A20="","",+IF(A20="_","Minute",VLOOKUP(A20,RESULT!$A$14:$W$41,16,FALSE))))</f>
        <v>15</v>
      </c>
      <c r="D20" s="107" t="e">
        <f>+IF(A20="_","Turn",+IF(A20="","",+IF(A20="_","Turn",VLOOKUP(A20,RESULT!$A$14:$W$41,18,FALSE))))</f>
        <v>#N/A</v>
      </c>
      <c r="E20" s="108" t="e">
        <f>+IF(A20="","",+IF(A20="_","",VLOOKUP(A20,RESULT!$A$14:$W$41,19,FALSE)))</f>
        <v>#N/A</v>
      </c>
      <c r="F20" s="114" t="e">
        <f t="shared" si="0"/>
        <v>#N/A</v>
      </c>
      <c r="G20" s="111" t="str">
        <f>+IF(A20="","",+IF(A20="_","",VLOOKUP(A20,RESULT!$A$14:$W$41,2,FALSE)))</f>
        <v>CP6:</v>
      </c>
      <c r="H20" s="65"/>
      <c r="I20" s="13"/>
    </row>
    <row r="21" spans="1:9" ht="15">
      <c r="A21" s="21" t="str">
        <f>IF(A20="","",+IF(A20="_",+A19+1,+IF(VLOOKUP(A20,RESULT!$A$14:$W$41,21,FALSE)&gt;0,"_",IF(A20+1&gt;RESULT!$A$42,"",+A20+1))))</f>
        <v>_</v>
      </c>
      <c r="B21" s="64" t="str">
        <f>IF(A21="","",+IF(A21="_","One",ROUND(VLOOKUP(A21,RESULT!$A$14:$W$41,15,FALSE)-+IF(A20="_",VLOOKUP(A19,RESULT!$A$14:$W$41,15,FALSE),VLOOKUP(A20,RESULT!$A$14:$W$41,15,FALSE)),1)))</f>
        <v>One</v>
      </c>
      <c r="C21" s="104" t="str">
        <f>+IF(A21="_","Minute",+IF(A21="","",+IF(A21="_","Minute",VLOOKUP(A21,RESULT!$A$14:$W$41,16,FALSE))))</f>
        <v>Minute</v>
      </c>
      <c r="D21" s="107" t="str">
        <f>+IF(A21="_","Turn",+IF(A21="","",+IF(A21="_","Turn",VLOOKUP(A21,RESULT!$A$14:$W$41,18,FALSE))))</f>
        <v>Turn</v>
      </c>
      <c r="E21" s="108">
        <f>+IF(A21="","",+IF(A21="_","",VLOOKUP(A21,RESULT!$A$14:$W$41,19,FALSE)))</f>
      </c>
      <c r="F21" s="114">
        <f t="shared" si="0"/>
        <v>0.0006944444444444445</v>
      </c>
      <c r="G21" s="111">
        <f>+IF(A21="","",+IF(A21="_","",VLOOKUP(A21,RESULT!$A$14:$W$41,2,FALSE)))</f>
      </c>
      <c r="H21" s="65"/>
      <c r="I21" s="13"/>
    </row>
    <row r="22" spans="1:9" ht="15">
      <c r="A22" s="21">
        <f>IF(A21="","",+IF(A21="_",+A20+1,+IF(VLOOKUP(A21,RESULT!$A$14:$W$41,21,FALSE)&gt;0,"_",IF(A21+1&gt;RESULT!$A$42,"",+A21+1))))</f>
        <v>7</v>
      </c>
      <c r="B22" s="64">
        <f>IF(A22="","",+IF(A22="_","One",ROUND(VLOOKUP(A22,RESULT!$A$14:$W$41,15,FALSE)-+IF(A21="_",VLOOKUP(A20,RESULT!$A$14:$W$41,15,FALSE),VLOOKUP(A21,RESULT!$A$14:$W$41,15,FALSE)),1)))</f>
        <v>12.1</v>
      </c>
      <c r="C22" s="104">
        <f>+IF(A22="_","Minute",+IF(A22="","",+IF(A22="_","Minute",VLOOKUP(A22,RESULT!$A$14:$W$41,16,FALSE))))</f>
        <v>154</v>
      </c>
      <c r="D22" s="107" t="e">
        <f>+IF(A22="_","Turn",+IF(A22="","",+IF(A22="_","Turn",VLOOKUP(A22,RESULT!$A$14:$W$41,18,FALSE))))</f>
        <v>#N/A</v>
      </c>
      <c r="E22" s="108" t="e">
        <f>+IF(A22="","",+IF(A22="_","",VLOOKUP(A22,RESULT!$A$14:$W$41,19,FALSE)))</f>
        <v>#N/A</v>
      </c>
      <c r="F22" s="114" t="e">
        <f t="shared" si="0"/>
        <v>#N/A</v>
      </c>
      <c r="G22" s="111" t="str">
        <f>+IF(A22="","",+IF(A22="_","",VLOOKUP(A22,RESULT!$A$14:$W$41,2,FALSE)))</f>
        <v>CP7:</v>
      </c>
      <c r="H22" s="65"/>
      <c r="I22" s="13"/>
    </row>
    <row r="23" spans="1:9" ht="15">
      <c r="A23" s="21">
        <f>IF(A22="","",+IF(A22="_",+A21+1,+IF(VLOOKUP(A22,RESULT!$A$14:$W$41,21,FALSE)&gt;0,"_",IF(A22+1&gt;RESULT!$A$42,"",+A22+1))))</f>
        <v>8</v>
      </c>
      <c r="B23" s="64">
        <f>IF(A23="","",+IF(A23="_","One",ROUND(VLOOKUP(A23,RESULT!$A$14:$W$41,15,FALSE)-+IF(A22="_",VLOOKUP(A21,RESULT!$A$14:$W$41,15,FALSE),VLOOKUP(A22,RESULT!$A$14:$W$41,15,FALSE)),1)))</f>
        <v>11</v>
      </c>
      <c r="C23" s="104">
        <f>+IF(A23="_","Minute",+IF(A23="","",+IF(A23="_","Minute",VLOOKUP(A23,RESULT!$A$14:$W$41,16,FALSE))))</f>
        <v>73</v>
      </c>
      <c r="D23" s="107" t="e">
        <f>+IF(A23="_","Turn",+IF(A23="","",+IF(A23="_","Turn",VLOOKUP(A23,RESULT!$A$14:$W$41,18,FALSE))))</f>
        <v>#N/A</v>
      </c>
      <c r="E23" s="108" t="e">
        <f>+IF(A23="","",+IF(A23="_","",VLOOKUP(A23,RESULT!$A$14:$W$41,19,FALSE)))</f>
        <v>#N/A</v>
      </c>
      <c r="F23" s="114" t="e">
        <f t="shared" si="0"/>
        <v>#N/A</v>
      </c>
      <c r="G23" s="111" t="str">
        <f>+IF(A23="","",+IF(A23="_","",VLOOKUP(A23,RESULT!$A$14:$W$41,2,FALSE)))</f>
        <v>Fin:</v>
      </c>
      <c r="H23" s="65"/>
      <c r="I23" s="13"/>
    </row>
    <row r="24" spans="1:9" ht="15">
      <c r="A24" s="21">
        <f>IF(A23="","",+IF(A23="_",+A22+1,+IF(VLOOKUP(A23,RESULT!$A$14:$W$41,21,FALSE)&gt;0,"_",IF(A23+1&gt;RESULT!$A$42,"",+A23+1))))</f>
      </c>
      <c r="B24" s="64">
        <f>IF(A24="","",+IF(A24="_","One",ROUND(VLOOKUP(A24,RESULT!$A$14:$W$41,15,FALSE)-+IF(A23="_",VLOOKUP(A22,RESULT!$A$14:$W$41,15,FALSE),VLOOKUP(A23,RESULT!$A$14:$W$41,15,FALSE)),1)))</f>
      </c>
      <c r="C24" s="104">
        <f>+IF(A24="_","Minute",+IF(A24="","",+IF(A24="_","Minute",VLOOKUP(A24,RESULT!$A$14:$W$41,16,FALSE))))</f>
      </c>
      <c r="D24" s="107">
        <f>+IF(A24="_","Turn",+IF(A24="","",+IF(A24="_","Turn",VLOOKUP(A24,RESULT!$A$14:$W$41,18,FALSE))))</f>
      </c>
      <c r="E24" s="108">
        <f>+IF(A24="","",+IF(A24="_","",VLOOKUP(A24,RESULT!$A$14:$W$41,19,FALSE)))</f>
      </c>
      <c r="F24" s="114">
        <f t="shared" si="0"/>
      </c>
      <c r="G24" s="111">
        <f>+IF(A24="","",+IF(A24="_","",VLOOKUP(A24,RESULT!$A$14:$W$41,2,FALSE)))</f>
      </c>
      <c r="H24" s="65"/>
      <c r="I24" s="13"/>
    </row>
    <row r="25" spans="1:9" ht="15">
      <c r="A25" s="21">
        <f>IF(A24="","",+IF(A24="_",+A23+1,+IF(VLOOKUP(A24,RESULT!$A$14:$W$41,21,FALSE)&gt;0,"_",IF(A24+1&gt;RESULT!$A$42,"",+A24+1))))</f>
      </c>
      <c r="B25" s="64">
        <f>IF(A25="","",+IF(A25="_","One",ROUND(VLOOKUP(A25,RESULT!$A$14:$W$41,15,FALSE)-+IF(A24="_",VLOOKUP(A23,RESULT!$A$14:$W$41,15,FALSE),VLOOKUP(A24,RESULT!$A$14:$W$41,15,FALSE)),1)))</f>
      </c>
      <c r="C25" s="104">
        <f>+IF(A25="_","Minute",+IF(A25="","",+IF(A25="_","Minute",VLOOKUP(A25,RESULT!$A$14:$W$41,16,FALSE))))</f>
      </c>
      <c r="D25" s="107">
        <f>+IF(A25="_","Turn",+IF(A25="","",+IF(A25="_","Turn",VLOOKUP(A25,RESULT!$A$14:$W$41,18,FALSE))))</f>
      </c>
      <c r="E25" s="108">
        <f>+IF(A25="","",+IF(A25="_","",VLOOKUP(A25,RESULT!$A$14:$W$41,19,FALSE)))</f>
      </c>
      <c r="F25" s="114">
        <f t="shared" si="0"/>
      </c>
      <c r="G25" s="111">
        <f>+IF(A25="","",+IF(A25="_","",VLOOKUP(A25,RESULT!$A$14:$W$41,2,FALSE)))</f>
      </c>
      <c r="H25" s="65"/>
      <c r="I25" s="13"/>
    </row>
    <row r="26" spans="1:9" ht="15">
      <c r="A26" s="21">
        <f>IF(A25="","",+IF(A25="_",+A24+1,+IF(VLOOKUP(A25,RESULT!$A$14:$W$41,21,FALSE)&gt;0,"_",IF(A25+1&gt;RESULT!$A$42,"",+A25+1))))</f>
      </c>
      <c r="B26" s="64">
        <f>IF(A26="","",+IF(A26="_","One",ROUND(VLOOKUP(A26,RESULT!$A$14:$W$41,15,FALSE)-+IF(A25="_",VLOOKUP(A24,RESULT!$A$14:$W$41,15,FALSE),VLOOKUP(A25,RESULT!$A$14:$W$41,15,FALSE)),1)))</f>
      </c>
      <c r="C26" s="104">
        <f>+IF(A26="_","Minute",+IF(A26="","",+IF(A26="_","Minute",VLOOKUP(A26,RESULT!$A$14:$W$41,16,FALSE))))</f>
      </c>
      <c r="D26" s="107">
        <f>+IF(A26="_","Turn",+IF(A26="","",+IF(A26="_","Turn",VLOOKUP(A26,RESULT!$A$14:$W$41,18,FALSE))))</f>
      </c>
      <c r="E26" s="108">
        <f>+IF(A26="","",+IF(A26="_","",VLOOKUP(A26,RESULT!$A$14:$W$41,19,FALSE)))</f>
      </c>
      <c r="F26" s="114">
        <f t="shared" si="0"/>
      </c>
      <c r="G26" s="111">
        <f>+IF(A26="","",+IF(A26="_","",VLOOKUP(A26,RESULT!$A$14:$W$41,2,FALSE)))</f>
      </c>
      <c r="H26" s="65"/>
      <c r="I26" s="13"/>
    </row>
    <row r="27" spans="1:9" ht="15">
      <c r="A27" s="21">
        <f>IF(A26="","",+IF(A26="_",+A25+1,+IF(VLOOKUP(A26,RESULT!$A$14:$W$41,21,FALSE)&gt;0,"_",IF(A26+1&gt;RESULT!$A$42,"",+A26+1))))</f>
      </c>
      <c r="B27" s="64">
        <f>IF(A27="","",+IF(A27="_","One",ROUND(VLOOKUP(A27,RESULT!$A$14:$W$41,15,FALSE)-+IF(A26="_",VLOOKUP(A25,RESULT!$A$14:$W$41,15,FALSE),VLOOKUP(A26,RESULT!$A$14:$W$41,15,FALSE)),1)))</f>
      </c>
      <c r="C27" s="104">
        <f>+IF(A27="_","Minute",+IF(A27="","",+IF(A27="_","Minute",VLOOKUP(A27,RESULT!$A$14:$W$41,16,FALSE))))</f>
      </c>
      <c r="D27" s="107">
        <f>+IF(A27="_","Turn",+IF(A27="","",+IF(A27="_","Turn",VLOOKUP(A27,RESULT!$A$14:$W$41,18,FALSE))))</f>
      </c>
      <c r="E27" s="108">
        <f>+IF(A27="","",+IF(A27="_","",VLOOKUP(A27,RESULT!$A$14:$W$41,19,FALSE)))</f>
      </c>
      <c r="F27" s="114">
        <f t="shared" si="0"/>
      </c>
      <c r="G27" s="111">
        <f>+IF(A27="","",+IF(A27="_","",VLOOKUP(A27,RESULT!$A$14:$W$41,2,FALSE)))</f>
      </c>
      <c r="H27" s="65"/>
      <c r="I27" s="13"/>
    </row>
    <row r="28" spans="1:9" ht="15">
      <c r="A28" s="21">
        <f>IF(A27="","",+IF(A27="_",+A26+1,+IF(VLOOKUP(A27,RESULT!$A$14:$W$41,21,FALSE)&gt;0,"_",IF(A27+1&gt;RESULT!$A$42,"",+A27+1))))</f>
      </c>
      <c r="B28" s="64">
        <f>IF(A28="","",+IF(A28="_","One",ROUND(VLOOKUP(A28,RESULT!$A$14:$W$41,15,FALSE)-+IF(A27="_",VLOOKUP(A26,RESULT!$A$14:$W$41,15,FALSE),VLOOKUP(A27,RESULT!$A$14:$W$41,15,FALSE)),1)))</f>
      </c>
      <c r="C28" s="104">
        <f>+IF(A28="_","Minute",+IF(A28="","",+IF(A28="_","Minute",VLOOKUP(A28,RESULT!$A$14:$W$41,16,FALSE))))</f>
      </c>
      <c r="D28" s="107">
        <f>+IF(A28="_","Turn",+IF(A28="","",+IF(A28="_","Turn",VLOOKUP(A28,RESULT!$A$14:$W$41,18,FALSE))))</f>
      </c>
      <c r="E28" s="108">
        <f>+IF(A28="","",+IF(A28="_","",VLOOKUP(A28,RESULT!$A$14:$W$41,19,FALSE)))</f>
      </c>
      <c r="F28" s="114">
        <f t="shared" si="0"/>
      </c>
      <c r="G28" s="111">
        <f>+IF(A28="","",+IF(A28="_","",VLOOKUP(A28,RESULT!$A$14:$W$41,2,FALSE)))</f>
      </c>
      <c r="H28" s="65"/>
      <c r="I28" s="13"/>
    </row>
    <row r="29" spans="1:9" ht="15.75" thickBot="1">
      <c r="A29" s="21">
        <f>IF(A28="","",+IF(A28="_",+A27+1,+IF(VLOOKUP(A28,RESULT!$A$14:$W$41,21,FALSE)&gt;0,"_",IF(A28+1&gt;RESULT!$A$42,"",+A28+1))))</f>
      </c>
      <c r="B29" s="64">
        <f>IF(A29="","",+IF(A29="_","One",ROUND(VLOOKUP(A29,RESULT!$A$14:$W$41,15,FALSE)-+IF(A28="_",VLOOKUP(A27,RESULT!$A$14:$W$41,15,FALSE),VLOOKUP(A28,RESULT!$A$14:$W$41,15,FALSE)),1)))</f>
      </c>
      <c r="C29" s="104">
        <f>+IF(A29="_","Minute",+IF(A29="","",+IF(A29="_","Minute",VLOOKUP(A29,RESULT!$A$14:$W$41,16,FALSE))))</f>
      </c>
      <c r="D29" s="115">
        <f>+IF(A29="_","Turn",+IF(A29="","",+IF(A29="_","Turn",VLOOKUP(A29,RESULT!$A$14:$W$41,18,FALSE))))</f>
      </c>
      <c r="E29" s="108">
        <f>+IF(A29="","",+IF(A29="_","",VLOOKUP(A29,RESULT!$A$14:$W$41,19,FALSE)))</f>
      </c>
      <c r="F29" s="117">
        <f t="shared" si="0"/>
      </c>
      <c r="G29" s="111">
        <f>+IF(A29="","",+IF(A29="_","",VLOOKUP(A29,RESULT!$A$14:$W$41,2,FALSE)))</f>
      </c>
      <c r="H29" s="65"/>
      <c r="I29" s="13"/>
    </row>
    <row r="30" spans="1:9" ht="15.75">
      <c r="A30" s="2" t="s">
        <v>46</v>
      </c>
      <c r="B30" s="2"/>
      <c r="C30" s="105"/>
      <c r="D30" s="51"/>
      <c r="E30" s="109"/>
      <c r="F30" s="116"/>
      <c r="G30" s="111"/>
      <c r="H30" s="89"/>
      <c r="I30" s="51"/>
    </row>
    <row r="31" ht="12.75">
      <c r="A31" s="48"/>
    </row>
    <row r="32" spans="1:2" ht="12.75">
      <c r="A32" s="48"/>
      <c r="B32" s="48"/>
    </row>
  </sheetData>
  <sheetProtection/>
  <mergeCells count="14">
    <mergeCell ref="A1:I1"/>
    <mergeCell ref="A2:I2"/>
    <mergeCell ref="A3:I3"/>
    <mergeCell ref="A4:I4"/>
    <mergeCell ref="B5:C5"/>
    <mergeCell ref="B7:F7"/>
    <mergeCell ref="I11:I12"/>
    <mergeCell ref="D5:F6"/>
    <mergeCell ref="B8:D8"/>
    <mergeCell ref="A11:A12"/>
    <mergeCell ref="B11:B12"/>
    <mergeCell ref="C11:C12"/>
    <mergeCell ref="D11:D12"/>
    <mergeCell ref="E11:E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2"/>
  <sheetViews>
    <sheetView zoomScale="92" zoomScaleNormal="92" zoomScalePageLayoutView="0" workbookViewId="0" topLeftCell="A1">
      <selection activeCell="B6" sqref="B6"/>
    </sheetView>
  </sheetViews>
  <sheetFormatPr defaultColWidth="9.140625" defaultRowHeight="12.75"/>
  <cols>
    <col min="1" max="1" width="10.421875" style="0" customWidth="1"/>
    <col min="2" max="2" width="10.28125" style="0" bestFit="1" customWidth="1"/>
    <col min="6" max="6" width="11.8515625" style="0" customWidth="1"/>
    <col min="7" max="7" width="9.7109375" style="75" customWidth="1"/>
    <col min="8" max="8" width="15.7109375" style="0" customWidth="1"/>
    <col min="9" max="9" width="12.00390625" style="0" customWidth="1"/>
  </cols>
  <sheetData>
    <row r="1" spans="1:9" s="72" customFormat="1" ht="20.25">
      <c r="A1" s="123" t="str">
        <f>+'[1]Course + Sec'!$A$1</f>
        <v>WPFC 2011 Training Route 2</v>
      </c>
      <c r="B1" s="123"/>
      <c r="C1" s="123"/>
      <c r="D1" s="123"/>
      <c r="E1" s="123"/>
      <c r="F1" s="123"/>
      <c r="G1" s="123"/>
      <c r="H1" s="123"/>
      <c r="I1" s="123"/>
    </row>
    <row r="2" spans="1:9" s="73" customFormat="1" ht="18">
      <c r="A2" s="124">
        <f>+'[1]Course + Sec'!$A$2</f>
        <v>40783</v>
      </c>
      <c r="B2" s="124"/>
      <c r="C2" s="124"/>
      <c r="D2" s="124"/>
      <c r="E2" s="124"/>
      <c r="F2" s="124"/>
      <c r="G2" s="124"/>
      <c r="H2" s="124"/>
      <c r="I2" s="124"/>
    </row>
    <row r="3" spans="1:9" s="73" customFormat="1" ht="18">
      <c r="A3" s="125" t="str">
        <f>+'[1]Course + Sec'!$A$3</f>
        <v>Brits</v>
      </c>
      <c r="B3" s="125"/>
      <c r="C3" s="125"/>
      <c r="D3" s="125"/>
      <c r="E3" s="125"/>
      <c r="F3" s="125"/>
      <c r="G3" s="125"/>
      <c r="H3" s="125"/>
      <c r="I3" s="125"/>
    </row>
    <row r="4" spans="1:9" s="73" customFormat="1" ht="18">
      <c r="A4" s="125" t="str">
        <f>+'[1]Course + Sec'!$A$4</f>
        <v>Blue</v>
      </c>
      <c r="B4" s="125"/>
      <c r="C4" s="125"/>
      <c r="D4" s="125"/>
      <c r="E4" s="125"/>
      <c r="F4" s="125"/>
      <c r="G4" s="125"/>
      <c r="H4" s="125"/>
      <c r="I4" s="125"/>
    </row>
    <row r="5" spans="1:9" ht="15.75">
      <c r="A5" s="66" t="s">
        <v>32</v>
      </c>
      <c r="B5" s="126" t="e">
        <f>VLOOKUP($B$6,'[1]START LIST'!$B$6:$O$56,8)</f>
        <v>#N/A</v>
      </c>
      <c r="C5" s="126"/>
      <c r="D5" s="139" t="s">
        <v>52</v>
      </c>
      <c r="E5" s="128"/>
      <c r="F5" s="129"/>
      <c r="G5" s="24" t="s">
        <v>31</v>
      </c>
      <c r="H5" s="62" t="e">
        <f>VLOOKUP($B$6,'[1]START LIST'!$B$6:$O$56,11)</f>
        <v>#N/A</v>
      </c>
      <c r="I5" s="43"/>
    </row>
    <row r="6" spans="1:9" ht="15.75">
      <c r="A6" s="49" t="s">
        <v>0</v>
      </c>
      <c r="B6" s="67">
        <f>+'Flight Plan'!B6</f>
        <v>0</v>
      </c>
      <c r="C6" s="43"/>
      <c r="D6" s="130"/>
      <c r="E6" s="130"/>
      <c r="F6" s="131"/>
      <c r="G6" s="59" t="s">
        <v>39</v>
      </c>
      <c r="H6" s="74" t="e">
        <f>+H11</f>
        <v>#N/A</v>
      </c>
      <c r="I6" s="43"/>
    </row>
    <row r="7" spans="1:9" ht="15.75">
      <c r="A7" s="49" t="s">
        <v>3</v>
      </c>
      <c r="B7" s="119" t="e">
        <f>VLOOKUP($B$6,'[1]START LIST'!$B$6:$O$56,2)</f>
        <v>#N/A</v>
      </c>
      <c r="C7" s="119"/>
      <c r="D7" s="119"/>
      <c r="E7" s="119"/>
      <c r="F7" s="119"/>
      <c r="G7" s="24" t="s">
        <v>30</v>
      </c>
      <c r="H7" s="68">
        <f>'[1]MASTER'!$B$12</f>
        <v>0.004167526455026455</v>
      </c>
      <c r="I7" s="43"/>
    </row>
    <row r="8" spans="1:9" ht="15.75">
      <c r="A8" s="49" t="s">
        <v>1</v>
      </c>
      <c r="B8" s="120" t="e">
        <f>VLOOKUP($B$6,'[1]START LIST'!$B$6:$O$56,6)</f>
        <v>#N/A</v>
      </c>
      <c r="C8" s="121"/>
      <c r="D8" s="122"/>
      <c r="E8" s="70" t="s">
        <v>2</v>
      </c>
      <c r="F8" s="69" t="e">
        <f>VLOOKUP($B$6,'[1]START LIST'!$B$6:$O$56,5)</f>
        <v>#N/A</v>
      </c>
      <c r="G8" s="88"/>
      <c r="H8" s="43"/>
      <c r="I8" s="43"/>
    </row>
    <row r="9" spans="1:9" ht="15.75">
      <c r="A9" s="49" t="s">
        <v>4</v>
      </c>
      <c r="B9" s="71" t="e">
        <f>VLOOKUP($B$6,'[1]START LIST'!$B$6:$O$56,7)</f>
        <v>#N/A</v>
      </c>
      <c r="C9" s="43"/>
      <c r="D9" s="43"/>
      <c r="E9" s="43"/>
      <c r="F9" s="43"/>
      <c r="G9" s="88"/>
      <c r="H9" s="61" t="s">
        <v>40</v>
      </c>
      <c r="I9" s="43"/>
    </row>
    <row r="10" spans="1:9" ht="15.75">
      <c r="A10" s="49" t="s">
        <v>5</v>
      </c>
      <c r="B10" s="21" t="e">
        <f>VLOOKUP($B$6,'[1]START LIST'!$B$6:$O$56,9)</f>
        <v>#N/A</v>
      </c>
      <c r="C10" s="50" t="s">
        <v>6</v>
      </c>
      <c r="D10" s="21" t="e">
        <f>VLOOKUP($B$6,'[1]START LIST'!$B$6:$O$56,10)</f>
        <v>#N/A</v>
      </c>
      <c r="E10" s="43"/>
      <c r="F10" s="43"/>
      <c r="G10" s="88"/>
      <c r="H10" s="1" t="s">
        <v>41</v>
      </c>
      <c r="I10" s="43"/>
    </row>
    <row r="11" spans="1:9" ht="15" customHeight="1">
      <c r="A11" s="133" t="s">
        <v>33</v>
      </c>
      <c r="B11" s="133" t="s">
        <v>34</v>
      </c>
      <c r="C11" s="133" t="s">
        <v>35</v>
      </c>
      <c r="D11" s="134" t="s">
        <v>36</v>
      </c>
      <c r="E11" s="134" t="s">
        <v>37</v>
      </c>
      <c r="F11" s="21" t="s">
        <v>38</v>
      </c>
      <c r="G11" s="1" t="s">
        <v>39</v>
      </c>
      <c r="H11" s="62" t="e">
        <f>VLOOKUP($B$6,'[1]START LIST'!$B$6:$O$56,12)</f>
        <v>#N/A</v>
      </c>
      <c r="I11" s="132" t="s">
        <v>21</v>
      </c>
    </row>
    <row r="12" spans="1:9" ht="27.75" customHeight="1">
      <c r="A12" s="133"/>
      <c r="B12" s="133"/>
      <c r="C12" s="133"/>
      <c r="D12" s="134"/>
      <c r="E12" s="134"/>
      <c r="F12" s="63" t="s">
        <v>45</v>
      </c>
      <c r="G12" s="21" t="str">
        <f>+RESULT!B14</f>
        <v>Strt:</v>
      </c>
      <c r="H12" s="3" t="e">
        <f>+RESULT!C14</f>
        <v>#N/A</v>
      </c>
      <c r="I12" s="132"/>
    </row>
    <row r="13" spans="1:9" ht="15">
      <c r="A13" s="21">
        <v>1</v>
      </c>
      <c r="B13" s="64">
        <f>IF(A13="_","",VLOOKUP(A13,RESULT!$A$14:$W$41,15,FALSE))</f>
        <v>6.038336933045356</v>
      </c>
      <c r="C13" s="13">
        <f>+IF(A13="_","",VLOOKUP(A13,RESULT!$A$14:$W$41,16,FALSE))</f>
        <v>254</v>
      </c>
      <c r="D13" s="13" t="e">
        <f>+IF(A13="_","",VLOOKUP(A13,RESULT!$A$14:$W$41,18,FALSE))</f>
        <v>#N/A</v>
      </c>
      <c r="E13" s="64" t="e">
        <f>+IF(A13="_","",VLOOKUP(A13,RESULT!$A$14:$W$41,19,FALSE))</f>
        <v>#N/A</v>
      </c>
      <c r="F13" s="87" t="e">
        <f>+H13-H12</f>
        <v>#N/A</v>
      </c>
      <c r="G13" s="21" t="str">
        <f>+IF(A13="","",+IF(A13="_","",VLOOKUP(A13,RESULT!$A$14:$W$41,2,FALSE)))</f>
        <v>CP1:</v>
      </c>
      <c r="H13" s="65" t="e">
        <f>+IF(A13="","",+IF(A13="_",VLOOKUP(A12,RESULT!$A$14:$W$41,21,FALSE)+H12,VLOOKUP(A13,RESULT!$A$14:$W$41,3,FALSE)))</f>
        <v>#N/A</v>
      </c>
      <c r="I13" s="13">
        <f>IF($B$32="Y","",+IF(A13="","",+IF(A13="_","",VLOOKUP(A13,RESULT!$A$14:$W$41,23,FALSE)+500)))</f>
        <v>4474.737532808398</v>
      </c>
    </row>
    <row r="14" spans="1:9" ht="15">
      <c r="A14" s="21">
        <f>IF(A13="","",+IF(A13="_",+A12+1,+IF(VLOOKUP(A13,RESULT!$A$14:$W$41,21,FALSE)&gt;0,"_",IF(A13+1&gt;RESULT!$A$42,"",+A13+1))))</f>
        <v>2</v>
      </c>
      <c r="B14" s="64">
        <f>IF(A14="","",+IF(A14="_","One",VLOOKUP(A14,RESULT!$A$14:$W$41,15,FALSE)-+IF(A13="_",VLOOKUP(A12,RESULT!$A$14:$W$41,15,FALSE),VLOOKUP(A13,RESULT!$A$14:$W$41,15,FALSE))))</f>
        <v>8.278617710583154</v>
      </c>
      <c r="C14" s="13">
        <f>+IF(A14="_","Minute",+IF(A14="","",+IF(A14="_","Minute",VLOOKUP(A14,RESULT!$A$14:$W$41,16,FALSE))))</f>
        <v>327</v>
      </c>
      <c r="D14" s="13" t="e">
        <f>+IF(A14="_","Turn",+IF(A14="","",+IF(A14="_","Turn",VLOOKUP(A14,RESULT!$A$14:$W$41,18,FALSE))))</f>
        <v>#N/A</v>
      </c>
      <c r="E14" s="64" t="e">
        <f>+IF(A14="","",+IF(A14="_","",VLOOKUP(A14,RESULT!$A$14:$W$41,19,FALSE)))</f>
        <v>#N/A</v>
      </c>
      <c r="F14" s="87" t="e">
        <f>+IF(A14="","",+H14-H13)</f>
        <v>#N/A</v>
      </c>
      <c r="G14" s="21" t="str">
        <f>+IF(A14="","",+IF(A14="_","",VLOOKUP(A14,RESULT!$A$14:$W$41,2,FALSE)))</f>
        <v>CP2:</v>
      </c>
      <c r="H14" s="65" t="e">
        <f>+IF(A14="","",+IF(A14="_",VLOOKUP(A13,RESULT!$A$14:$W$41,21,FALSE)+H13,VLOOKUP(A14,RESULT!$A$14:$W$41,3,FALSE)))</f>
        <v>#N/A</v>
      </c>
      <c r="I14" s="13">
        <f>+IF(A14="","",+IF(A14="_","",VLOOKUP(A14,RESULT!$A$14:$W$41,23,FALSE)+500))</f>
        <v>4379.265091863517</v>
      </c>
    </row>
    <row r="15" spans="1:9" ht="15">
      <c r="A15" s="21">
        <f>IF(A14="","",+IF(A14="_",+A13+1,+IF(VLOOKUP(A14,RESULT!$A$14:$W$41,21,FALSE)&gt;0,"_",IF(A14+1&gt;RESULT!$A$42,"",+A14+1))))</f>
        <v>3</v>
      </c>
      <c r="B15" s="64">
        <f>IF(A15="","",+IF(A15="_","One",VLOOKUP(A15,RESULT!$A$14:$W$41,15,FALSE)-+IF(A14="_",VLOOKUP(A13,RESULT!$A$14:$W$41,15,FALSE),VLOOKUP(A14,RESULT!$A$14:$W$41,15,FALSE))))</f>
        <v>12.534017278617707</v>
      </c>
      <c r="C15" s="13">
        <f>+IF(A15="_","Minute",+IF(A15="","",+IF(A15="_","Minute",VLOOKUP(A15,RESULT!$A$14:$W$41,16,FALSE))))</f>
        <v>324</v>
      </c>
      <c r="D15" s="13" t="e">
        <f>+IF(A15="_","Turn",+IF(A15="","",+IF(A15="_","Turn",VLOOKUP(A15,RESULT!$A$14:$W$41,18,FALSE))))</f>
        <v>#N/A</v>
      </c>
      <c r="E15" s="64" t="e">
        <f>+IF(A15="","",+IF(A15="_","",VLOOKUP(A15,RESULT!$A$14:$W$41,19,FALSE)))</f>
        <v>#N/A</v>
      </c>
      <c r="F15" s="87" t="e">
        <f aca="true" t="shared" si="0" ref="F15:F29">+IF(A15="","",+H15-H14)</f>
        <v>#N/A</v>
      </c>
      <c r="G15" s="21" t="str">
        <f>+IF(A15="","",+IF(A15="_","",VLOOKUP(A15,RESULT!$A$14:$W$41,2,FALSE)))</f>
        <v>CP3:</v>
      </c>
      <c r="H15" s="65" t="e">
        <f>+IF(A15="","",+IF(A15="_",VLOOKUP(A14,RESULT!$A$14:$W$41,21,FALSE)+H14,VLOOKUP(A15,RESULT!$A$14:$W$41,3,FALSE)))</f>
        <v>#N/A</v>
      </c>
      <c r="I15" s="13">
        <f>+IF(A15="","",+IF(A15="_","",VLOOKUP(A15,RESULT!$A$14:$W$41,23,FALSE)+500))</f>
        <v>4338.582677165354</v>
      </c>
    </row>
    <row r="16" spans="1:9" ht="15">
      <c r="A16" s="21" t="str">
        <f>IF(A15="","",+IF(A15="_",+A14+1,+IF(VLOOKUP(A15,RESULT!$A$14:$W$41,21,FALSE)&gt;0,"_",IF(A15+1&gt;RESULT!$A$42,"",+A15+1))))</f>
        <v>_</v>
      </c>
      <c r="B16" s="64" t="str">
        <f>IF(A16="","",+IF(A16="_","One",VLOOKUP(A16,RESULT!$A$14:$W$41,15,FALSE)-+IF(A15="_",VLOOKUP(A14,RESULT!$A$14:$W$41,15,FALSE),VLOOKUP(A15,RESULT!$A$14:$W$41,15,FALSE))))</f>
        <v>One</v>
      </c>
      <c r="C16" s="13" t="str">
        <f>+IF(A16="_","Minute",+IF(A16="","",+IF(A16="_","Minute",VLOOKUP(A16,RESULT!$A$14:$W$41,16,FALSE))))</f>
        <v>Minute</v>
      </c>
      <c r="D16" s="13" t="str">
        <f>+IF(A16="_","Turn",+IF(A16="","",+IF(A16="_","Turn",VLOOKUP(A16,RESULT!$A$14:$W$41,18,FALSE))))</f>
        <v>Turn</v>
      </c>
      <c r="E16" s="64">
        <f>+IF(A16="","",+IF(A16="_","",VLOOKUP(A16,RESULT!$A$14:$W$41,19,FALSE)))</f>
      </c>
      <c r="F16" s="87" t="e">
        <f t="shared" si="0"/>
        <v>#N/A</v>
      </c>
      <c r="G16" s="21">
        <f>+IF(A16="","",+IF(A16="_","",VLOOKUP(A16,RESULT!$A$14:$W$41,2,FALSE)))</f>
      </c>
      <c r="H16" s="65" t="e">
        <f>+IF(A16="","",+IF(A16="_",VLOOKUP(A15,RESULT!$A$14:$W$41,21,FALSE)+H15,VLOOKUP(A16,RESULT!$A$14:$W$41,3,FALSE)))</f>
        <v>#N/A</v>
      </c>
      <c r="I16" s="13">
        <f>+IF(A16="","",+IF(A16="_","",VLOOKUP(A16,RESULT!$A$14:$W$41,23,FALSE)+500))</f>
      </c>
    </row>
    <row r="17" spans="1:9" ht="15">
      <c r="A17" s="21">
        <f>IF(A16="","",+IF(A16="_",+A15+1,+IF(VLOOKUP(A16,RESULT!$A$14:$W$41,21,FALSE)&gt;0,"_",IF(A16+1&gt;RESULT!$A$42,"",+A16+1))))</f>
        <v>4</v>
      </c>
      <c r="B17" s="64">
        <f>IF(A17="","",+IF(A17="_","One",VLOOKUP(A17,RESULT!$A$14:$W$41,15,FALSE)-+IF(A16="_",VLOOKUP(A15,RESULT!$A$14:$W$41,15,FALSE),VLOOKUP(A16,RESULT!$A$14:$W$41,15,FALSE))))</f>
        <v>15.943844492440604</v>
      </c>
      <c r="C17" s="13">
        <f>+IF(A17="_","Minute",+IF(A17="","",+IF(A17="_","Minute",VLOOKUP(A17,RESULT!$A$14:$W$41,16,FALSE))))</f>
        <v>205</v>
      </c>
      <c r="D17" s="13" t="e">
        <f>+IF(A17="_","Turn",+IF(A17="","",+IF(A17="_","Turn",VLOOKUP(A17,RESULT!$A$14:$W$41,18,FALSE))))</f>
        <v>#N/A</v>
      </c>
      <c r="E17" s="64" t="e">
        <f>+IF(A17="","",+IF(A17="_","",VLOOKUP(A17,RESULT!$A$14:$W$41,19,FALSE)))</f>
        <v>#N/A</v>
      </c>
      <c r="F17" s="87" t="e">
        <f t="shared" si="0"/>
        <v>#N/A</v>
      </c>
      <c r="G17" s="21" t="str">
        <f>+IF(A17="","",+IF(A17="_","",VLOOKUP(A17,RESULT!$A$14:$W$41,2,FALSE)))</f>
        <v>CP4:</v>
      </c>
      <c r="H17" s="65" t="e">
        <f>+IF(A17="","",+IF(A17="_",VLOOKUP(A16,RESULT!$A$14:$W$41,21,FALSE)+H16,VLOOKUP(A17,RESULT!$A$14:$W$41,3,FALSE)))</f>
        <v>#N/A</v>
      </c>
      <c r="I17" s="13">
        <f>+IF(A17="","",+IF(A17="_","",VLOOKUP(A17,RESULT!$A$14:$W$41,23,FALSE)+500))</f>
        <v>1756.8</v>
      </c>
    </row>
    <row r="18" spans="1:9" ht="15">
      <c r="A18" s="21">
        <f>IF(A17="","",+IF(A17="_",+A16+1,+IF(VLOOKUP(A17,RESULT!$A$14:$W$41,21,FALSE)&gt;0,"_",IF(A17+1&gt;RESULT!$A$42,"",+A17+1))))</f>
        <v>5</v>
      </c>
      <c r="B18" s="64">
        <f>IF(A18="","",+IF(A18="_","One",VLOOKUP(A18,RESULT!$A$14:$W$41,15,FALSE)-+IF(A17="_",VLOOKUP(A16,RESULT!$A$14:$W$41,15,FALSE),VLOOKUP(A17,RESULT!$A$14:$W$41,15,FALSE))))</f>
        <v>8.335313174946002</v>
      </c>
      <c r="C18" s="13">
        <f>+IF(A18="_","Minute",+IF(A18="","",+IF(A18="_","Minute",VLOOKUP(A18,RESULT!$A$14:$W$41,16,FALSE))))</f>
        <v>150</v>
      </c>
      <c r="D18" s="13" t="e">
        <f>+IF(A18="_","Turn",+IF(A18="","",+IF(A18="_","Turn",VLOOKUP(A18,RESULT!$A$14:$W$41,18,FALSE))))</f>
        <v>#N/A</v>
      </c>
      <c r="E18" s="64" t="e">
        <f>+IF(A18="","",+IF(A18="_","",VLOOKUP(A18,RESULT!$A$14:$W$41,19,FALSE)))</f>
        <v>#N/A</v>
      </c>
      <c r="F18" s="87" t="e">
        <f t="shared" si="0"/>
        <v>#N/A</v>
      </c>
      <c r="G18" s="21" t="str">
        <f>+IF(A18="","",+IF(A18="_","",VLOOKUP(A18,RESULT!$A$14:$W$41,2,FALSE)))</f>
        <v>CP5:</v>
      </c>
      <c r="H18" s="65" t="e">
        <f>+IF(A18="","",+IF(A18="_",VLOOKUP(A17,RESULT!$A$14:$W$41,21,FALSE)+H17,VLOOKUP(A18,RESULT!$A$14:$W$41,3,FALSE)))</f>
        <v>#N/A</v>
      </c>
      <c r="I18" s="13">
        <f>+IF(A18="","",+IF(A18="_","",VLOOKUP(A18,RESULT!$A$14:$W$41,23,FALSE)+500))</f>
        <v>4950.4593175853015</v>
      </c>
    </row>
    <row r="19" spans="1:9" ht="15">
      <c r="A19" s="21" t="str">
        <f>IF(A18="","",+IF(A18="_",+A17+1,+IF(VLOOKUP(A18,RESULT!$A$14:$W$41,21,FALSE)&gt;0,"_",IF(A18+1&gt;RESULT!$A$42,"",+A18+1))))</f>
        <v>_</v>
      </c>
      <c r="B19" s="64" t="str">
        <f>IF(A19="","",+IF(A19="_","One",VLOOKUP(A19,RESULT!$A$14:$W$41,15,FALSE)-+IF(A18="_",VLOOKUP(A17,RESULT!$A$14:$W$41,15,FALSE),VLOOKUP(A18,RESULT!$A$14:$W$41,15,FALSE))))</f>
        <v>One</v>
      </c>
      <c r="C19" s="13" t="str">
        <f>+IF(A19="_","Minute",+IF(A19="","",+IF(A19="_","Minute",VLOOKUP(A19,RESULT!$A$14:$W$41,16,FALSE))))</f>
        <v>Minute</v>
      </c>
      <c r="D19" s="13" t="str">
        <f>+IF(A19="_","Turn",+IF(A19="","",+IF(A19="_","Turn",VLOOKUP(A19,RESULT!$A$14:$W$41,18,FALSE))))</f>
        <v>Turn</v>
      </c>
      <c r="E19" s="64">
        <f>+IF(A19="","",+IF(A19="_","",VLOOKUP(A19,RESULT!$A$14:$W$41,19,FALSE)))</f>
      </c>
      <c r="F19" s="87" t="e">
        <f t="shared" si="0"/>
        <v>#N/A</v>
      </c>
      <c r="G19" s="21">
        <f>+IF(A19="","",+IF(A19="_","",VLOOKUP(A19,RESULT!$A$14:$W$41,2,FALSE)))</f>
      </c>
      <c r="H19" s="65" t="e">
        <f>+IF(A19="","",+IF(A19="_",VLOOKUP(A18,RESULT!$A$14:$W$41,21,FALSE)+H18,VLOOKUP(A19,RESULT!$A$14:$W$41,3,FALSE)))</f>
        <v>#N/A</v>
      </c>
      <c r="I19" s="13">
        <f>+IF(A19="","",+IF(A19="_","",VLOOKUP(A19,RESULT!$A$14:$W$41,23,FALSE)+500))</f>
      </c>
    </row>
    <row r="20" spans="1:9" ht="15">
      <c r="A20" s="21">
        <f>IF(A19="","",+IF(A19="_",+A18+1,+IF(VLOOKUP(A19,RESULT!$A$14:$W$41,21,FALSE)&gt;0,"_",IF(A19+1&gt;RESULT!$A$42,"",+A19+1))))</f>
        <v>6</v>
      </c>
      <c r="B20" s="64">
        <f>IF(A20="","",+IF(A20="_","One",VLOOKUP(A20,RESULT!$A$14:$W$41,15,FALSE)-+IF(A19="_",VLOOKUP(A18,RESULT!$A$14:$W$41,15,FALSE),VLOOKUP(A19,RESULT!$A$14:$W$41,15,FALSE))))</f>
        <v>10.949784017278617</v>
      </c>
      <c r="C20" s="13">
        <f>+IF(A20="_","Minute",+IF(A20="","",+IF(A20="_","Minute",VLOOKUP(A20,RESULT!$A$14:$W$41,16,FALSE))))</f>
        <v>15</v>
      </c>
      <c r="D20" s="13" t="e">
        <f>+IF(A20="_","Turn",+IF(A20="","",+IF(A20="_","Turn",VLOOKUP(A20,RESULT!$A$14:$W$41,18,FALSE))))</f>
        <v>#N/A</v>
      </c>
      <c r="E20" s="64" t="e">
        <f>+IF(A20="","",+IF(A20="_","",VLOOKUP(A20,RESULT!$A$14:$W$41,19,FALSE)))</f>
        <v>#N/A</v>
      </c>
      <c r="F20" s="87" t="e">
        <f t="shared" si="0"/>
        <v>#N/A</v>
      </c>
      <c r="G20" s="21" t="str">
        <f>+IF(A20="","",+IF(A20="_","",VLOOKUP(A20,RESULT!$A$14:$W$41,2,FALSE)))</f>
        <v>CP6:</v>
      </c>
      <c r="H20" s="65" t="e">
        <f>+IF(A20="","",+IF(A20="_",VLOOKUP(A19,RESULT!$A$14:$W$41,21,FALSE)+H19,VLOOKUP(A20,RESULT!$A$14:$W$41,3,FALSE)))</f>
        <v>#N/A</v>
      </c>
      <c r="I20" s="13">
        <f>+IF(A20="","",+IF(A20="_","",VLOOKUP(A20,RESULT!$A$14:$W$41,23,FALSE)+500))</f>
        <v>4059.7112860892385</v>
      </c>
    </row>
    <row r="21" spans="1:9" ht="15">
      <c r="A21" s="21" t="str">
        <f>IF(A20="","",+IF(A20="_",+A19+1,+IF(VLOOKUP(A20,RESULT!$A$14:$W$41,21,FALSE)&gt;0,"_",IF(A20+1&gt;RESULT!$A$42,"",+A20+1))))</f>
        <v>_</v>
      </c>
      <c r="B21" s="64" t="str">
        <f>IF(A21="","",+IF(A21="_","One",VLOOKUP(A21,RESULT!$A$14:$W$41,15,FALSE)-+IF(A20="_",VLOOKUP(A19,RESULT!$A$14:$W$41,15,FALSE),VLOOKUP(A20,RESULT!$A$14:$W$41,15,FALSE))))</f>
        <v>One</v>
      </c>
      <c r="C21" s="13" t="str">
        <f>+IF(A21="_","Minute",+IF(A21="","",+IF(A21="_","Minute",VLOOKUP(A21,RESULT!$A$14:$W$41,16,FALSE))))</f>
        <v>Minute</v>
      </c>
      <c r="D21" s="13" t="str">
        <f>+IF(A21="_","Turn",+IF(A21="","",+IF(A21="_","Turn",VLOOKUP(A21,RESULT!$A$14:$W$41,18,FALSE))))</f>
        <v>Turn</v>
      </c>
      <c r="E21" s="64">
        <f>+IF(A21="","",+IF(A21="_","",VLOOKUP(A21,RESULT!$A$14:$W$41,19,FALSE)))</f>
      </c>
      <c r="F21" s="87" t="e">
        <f t="shared" si="0"/>
        <v>#N/A</v>
      </c>
      <c r="G21" s="21">
        <f>+IF(A21="","",+IF(A21="_","",VLOOKUP(A21,RESULT!$A$14:$W$41,2,FALSE)))</f>
      </c>
      <c r="H21" s="65" t="e">
        <f>+IF(A21="","",+IF(A21="_",VLOOKUP(A20,RESULT!$A$14:$W$41,21,FALSE)+H20,VLOOKUP(A21,RESULT!$A$14:$W$41,3,FALSE)))</f>
        <v>#N/A</v>
      </c>
      <c r="I21" s="13">
        <f>+IF(A21="","",+IF(A21="_","",VLOOKUP(A21,RESULT!$A$14:$W$41,23,FALSE)+500))</f>
      </c>
    </row>
    <row r="22" spans="1:9" ht="15">
      <c r="A22" s="21">
        <f>IF(A21="","",+IF(A21="_",+A20+1,+IF(VLOOKUP(A21,RESULT!$A$14:$W$41,21,FALSE)&gt;0,"_",IF(A21+1&gt;RESULT!$A$42,"",+A21+1))))</f>
        <v>7</v>
      </c>
      <c r="B22" s="64">
        <f>IF(A22="","",+IF(A22="_","One",VLOOKUP(A22,RESULT!$A$14:$W$41,15,FALSE)-+IF(A21="_",VLOOKUP(A20,RESULT!$A$14:$W$41,15,FALSE),VLOOKUP(A21,RESULT!$A$14:$W$41,15,FALSE))))</f>
        <v>12.138228941684666</v>
      </c>
      <c r="C22" s="13">
        <f>+IF(A22="_","Minute",+IF(A22="","",+IF(A22="_","Minute",VLOOKUP(A22,RESULT!$A$14:$W$41,16,FALSE))))</f>
        <v>154</v>
      </c>
      <c r="D22" s="13" t="e">
        <f>+IF(A22="_","Turn",+IF(A22="","",+IF(A22="_","Turn",VLOOKUP(A22,RESULT!$A$14:$W$41,18,FALSE))))</f>
        <v>#N/A</v>
      </c>
      <c r="E22" s="64" t="e">
        <f>+IF(A22="","",+IF(A22="_","",VLOOKUP(A22,RESULT!$A$14:$W$41,19,FALSE)))</f>
        <v>#N/A</v>
      </c>
      <c r="F22" s="87" t="e">
        <f t="shared" si="0"/>
        <v>#N/A</v>
      </c>
      <c r="G22" s="21" t="str">
        <f>+IF(A22="","",+IF(A22="_","",VLOOKUP(A22,RESULT!$A$14:$W$41,2,FALSE)))</f>
        <v>CP7:</v>
      </c>
      <c r="H22" s="65" t="e">
        <f>+IF(A22="","",+IF(A22="_",VLOOKUP(A21,RESULT!$A$14:$W$41,21,FALSE)+H21,VLOOKUP(A22,RESULT!$A$14:$W$41,3,FALSE)))</f>
        <v>#N/A</v>
      </c>
      <c r="I22" s="13">
        <f>+IF(A22="","",+IF(A22="_","",VLOOKUP(A22,RESULT!$A$14:$W$41,23,FALSE)+500))</f>
        <v>4387.795275590551</v>
      </c>
    </row>
    <row r="23" spans="1:9" ht="15">
      <c r="A23" s="21">
        <f>IF(A22="","",+IF(A22="_",+A21+1,+IF(VLOOKUP(A22,RESULT!$A$14:$W$41,21,FALSE)&gt;0,"_",IF(A22+1&gt;RESULT!$A$42,"",+A22+1))))</f>
        <v>8</v>
      </c>
      <c r="B23" s="64">
        <f>IF(A23="","",+IF(A23="_","One",VLOOKUP(A23,RESULT!$A$14:$W$41,15,FALSE)-+IF(A22="_",VLOOKUP(A21,RESULT!$A$14:$W$41,15,FALSE),VLOOKUP(A22,RESULT!$A$14:$W$41,15,FALSE))))</f>
        <v>10.961663066954642</v>
      </c>
      <c r="C23" s="13">
        <f>+IF(A23="_","Minute",+IF(A23="","",+IF(A23="_","Minute",VLOOKUP(A23,RESULT!$A$14:$W$41,16,FALSE))))</f>
        <v>73</v>
      </c>
      <c r="D23" s="13" t="e">
        <f>+IF(A23="_","Turn",+IF(A23="","",+IF(A23="_","Turn",VLOOKUP(A23,RESULT!$A$14:$W$41,18,FALSE))))</f>
        <v>#N/A</v>
      </c>
      <c r="E23" s="64" t="e">
        <f>+IF(A23="","",+IF(A23="_","",VLOOKUP(A23,RESULT!$A$14:$W$41,19,FALSE)))</f>
        <v>#N/A</v>
      </c>
      <c r="F23" s="87" t="e">
        <f t="shared" si="0"/>
        <v>#N/A</v>
      </c>
      <c r="G23" s="21" t="str">
        <f>+IF(A23="","",+IF(A23="_","",VLOOKUP(A23,RESULT!$A$14:$W$41,2,FALSE)))</f>
        <v>Fin:</v>
      </c>
      <c r="H23" s="65" t="e">
        <f>+IF(A23="","",+IF(A23="_",VLOOKUP(A22,RESULT!$A$14:$W$41,21,FALSE)+H22,VLOOKUP(A23,RESULT!$A$14:$W$41,3,FALSE)))</f>
        <v>#N/A</v>
      </c>
      <c r="I23" s="13">
        <f>+IF(A23="","",+IF(A23="_","",VLOOKUP(A23,RESULT!$A$14:$W$41,23,FALSE)+500))</f>
        <v>3928.477690288714</v>
      </c>
    </row>
    <row r="24" spans="1:9" ht="15">
      <c r="A24" s="21">
        <f>IF(A23="","",+IF(A23="_",+A22+1,+IF(VLOOKUP(A23,RESULT!$A$14:$W$41,21,FALSE)&gt;0,"_",IF(A23+1&gt;RESULT!$A$42,"",+A23+1))))</f>
      </c>
      <c r="B24" s="64">
        <f>IF(A24="","",+IF(A24="_","One",VLOOKUP(A24,RESULT!$A$14:$W$41,15,FALSE)-+IF(A23="_",VLOOKUP(A22,RESULT!$A$14:$W$41,15,FALSE),VLOOKUP(A23,RESULT!$A$14:$W$41,15,FALSE))))</f>
      </c>
      <c r="C24" s="13">
        <f>+IF(A24="_","Minute",+IF(A24="","",+IF(A24="_","Minute",VLOOKUP(A24,RESULT!$A$14:$W$41,16,FALSE))))</f>
      </c>
      <c r="D24" s="13">
        <f>+IF(A24="_","Turn",+IF(A24="","",+IF(A24="_","Turn",VLOOKUP(A24,RESULT!$A$14:$W$41,18,FALSE))))</f>
      </c>
      <c r="E24" s="64">
        <f>+IF(A24="","",+IF(A24="_","",VLOOKUP(A24,RESULT!$A$14:$W$41,19,FALSE)))</f>
      </c>
      <c r="F24" s="87">
        <f t="shared" si="0"/>
      </c>
      <c r="G24" s="21">
        <f>+IF(A24="","",+IF(A24="_","",VLOOKUP(A24,RESULT!$A$14:$W$41,2,FALSE)))</f>
      </c>
      <c r="H24" s="65">
        <f>+IF(A24="","",+IF(A24="_",VLOOKUP(A23,RESULT!$A$14:$W$41,21,FALSE)+H23,VLOOKUP(A24,RESULT!$A$14:$W$41,3,FALSE)))</f>
      </c>
      <c r="I24" s="13">
        <f>+IF(A24="","",+IF(A24="_","",VLOOKUP(A24,RESULT!$A$14:$W$41,23,FALSE)+500))</f>
      </c>
    </row>
    <row r="25" spans="1:9" ht="15">
      <c r="A25" s="21">
        <f>IF(A24="","",+IF(A24="_",+A23+1,+IF(VLOOKUP(A24,RESULT!$A$14:$W$41,21,FALSE)&gt;0,"_",IF(A24+1&gt;RESULT!$A$42,"",+A24+1))))</f>
      </c>
      <c r="B25" s="64">
        <f>IF(A25="","",+IF(A25="_","One",VLOOKUP(A25,RESULT!$A$14:$W$41,15,FALSE)-+IF(A24="_",VLOOKUP(A23,RESULT!$A$14:$W$41,15,FALSE),VLOOKUP(A24,RESULT!$A$14:$W$41,15,FALSE))))</f>
      </c>
      <c r="C25" s="13">
        <f>+IF(A25="_","Minute",+IF(A25="","",+IF(A25="_","Minute",VLOOKUP(A25,RESULT!$A$14:$W$41,16,FALSE))))</f>
      </c>
      <c r="D25" s="13">
        <f>+IF(A25="_","Turn",+IF(A25="","",+IF(A25="_","Turn",VLOOKUP(A25,RESULT!$A$14:$W$41,18,FALSE))))</f>
      </c>
      <c r="E25" s="64">
        <f>+IF(A25="","",+IF(A25="_","",VLOOKUP(A25,RESULT!$A$14:$W$41,19,FALSE)))</f>
      </c>
      <c r="F25" s="87">
        <f t="shared" si="0"/>
      </c>
      <c r="G25" s="21">
        <f>+IF(A25="","",+IF(A25="_","",VLOOKUP(A25,RESULT!$A$14:$W$41,2,FALSE)))</f>
      </c>
      <c r="H25" s="65">
        <f>+IF(A25="","",+IF(A25="_",VLOOKUP(A24,RESULT!$A$14:$W$41,21,FALSE)+H24,VLOOKUP(A25,RESULT!$A$14:$W$41,3,FALSE)))</f>
      </c>
      <c r="I25" s="13">
        <f>+IF(A25="","",+IF(A25="_","",VLOOKUP(A25,RESULT!$A$14:$W$41,23,FALSE)+500))</f>
      </c>
    </row>
    <row r="26" spans="1:9" ht="15">
      <c r="A26" s="21">
        <f>IF(A25="","",+IF(A25="_",+A24+1,+IF(VLOOKUP(A25,RESULT!$A$14:$W$41,21,FALSE)&gt;0,"_",IF(A25+1&gt;RESULT!$A$42,"",+A25+1))))</f>
      </c>
      <c r="B26" s="64">
        <f>IF(A26="","",+IF(A26="_","One",VLOOKUP(A26,RESULT!$A$14:$W$41,15,FALSE)-+IF(A25="_",VLOOKUP(A24,RESULT!$A$14:$W$41,15,FALSE),VLOOKUP(A25,RESULT!$A$14:$W$41,15,FALSE))))</f>
      </c>
      <c r="C26" s="13">
        <f>+IF(A26="_","Minute",+IF(A26="","",+IF(A26="_","Minute",VLOOKUP(A26,RESULT!$A$14:$W$41,16,FALSE))))</f>
      </c>
      <c r="D26" s="13">
        <f>+IF(A26="_","Turn",+IF(A26="","",+IF(A26="_","Turn",VLOOKUP(A26,RESULT!$A$14:$W$41,18,FALSE))))</f>
      </c>
      <c r="E26" s="64">
        <f>+IF(A26="","",+IF(A26="_","",VLOOKUP(A26,RESULT!$A$14:$W$41,19,FALSE)))</f>
      </c>
      <c r="F26" s="87">
        <f t="shared" si="0"/>
      </c>
      <c r="G26" s="21">
        <f>+IF(A26="","",+IF(A26="_","",VLOOKUP(A26,RESULT!$A$14:$W$41,2,FALSE)))</f>
      </c>
      <c r="H26" s="65">
        <f>+IF(A26="","",+IF(A26="_",VLOOKUP(A25,RESULT!$A$14:$W$41,21,FALSE)+H25,VLOOKUP(A26,RESULT!$A$14:$W$41,3,FALSE)))</f>
      </c>
      <c r="I26" s="13">
        <f>+IF(A26="","",+IF(A26="_","",VLOOKUP(A26,RESULT!$A$14:$W$41,23,FALSE)+500))</f>
      </c>
    </row>
    <row r="27" spans="1:9" ht="15">
      <c r="A27" s="21">
        <f>IF(A26="","",+IF(A26="_",+A25+1,+IF(VLOOKUP(A26,RESULT!$A$14:$W$41,21,FALSE)&gt;0,"_",IF(A26+1&gt;RESULT!$A$42,"",+A26+1))))</f>
      </c>
      <c r="B27" s="64">
        <f>IF(A27="","",+IF(A27="_","One",VLOOKUP(A27,RESULT!$A$14:$W$41,15,FALSE)-+IF(A26="_",VLOOKUP(A25,RESULT!$A$14:$W$41,15,FALSE),VLOOKUP(A26,RESULT!$A$14:$W$41,15,FALSE))))</f>
      </c>
      <c r="C27" s="13">
        <f>+IF(A27="_","Minute",+IF(A27="","",+IF(A27="_","Minute",VLOOKUP(A27,RESULT!$A$14:$W$41,16,FALSE))))</f>
      </c>
      <c r="D27" s="13">
        <f>+IF(A27="_","Turn",+IF(A27="","",+IF(A27="_","Turn",VLOOKUP(A27,RESULT!$A$14:$W$41,18,FALSE))))</f>
      </c>
      <c r="E27" s="64">
        <f>+IF(A27="","",+IF(A27="_","",VLOOKUP(A27,RESULT!$A$14:$W$41,19,FALSE)))</f>
      </c>
      <c r="F27" s="87">
        <f t="shared" si="0"/>
      </c>
      <c r="G27" s="21">
        <f>+IF(A27="","",+IF(A27="_","",VLOOKUP(A27,RESULT!$A$14:$W$41,2,FALSE)))</f>
      </c>
      <c r="H27" s="65">
        <f>+IF(A27="","",+IF(A27="_",VLOOKUP(A26,RESULT!$A$14:$W$41,21,FALSE)+H26,VLOOKUP(A27,RESULT!$A$14:$W$41,3,FALSE)))</f>
      </c>
      <c r="I27" s="13">
        <f>+IF(A27="","",+IF(A27="_","",VLOOKUP(A27,RESULT!$A$14:$W$41,23,FALSE)+500))</f>
      </c>
    </row>
    <row r="28" spans="1:9" ht="15">
      <c r="A28" s="21">
        <f>IF(A27="","",+IF(A27="_",+A26+1,+IF(VLOOKUP(A27,RESULT!$A$14:$W$41,21,FALSE)&gt;0,"_",IF(A27+1&gt;RESULT!$A$42,"",+A27+1))))</f>
      </c>
      <c r="B28" s="64">
        <f>IF(A28="","",+IF(A28="_","One",VLOOKUP(A28,RESULT!$A$14:$W$41,15,FALSE)-+IF(A27="_",VLOOKUP(A26,RESULT!$A$14:$W$41,15,FALSE),VLOOKUP(A27,RESULT!$A$14:$W$41,15,FALSE))))</f>
      </c>
      <c r="C28" s="13">
        <f>+IF(A28="_","Minute",+IF(A28="","",+IF(A28="_","Minute",VLOOKUP(A28,RESULT!$A$14:$W$41,16,FALSE))))</f>
      </c>
      <c r="D28" s="13">
        <f>+IF(A28="_","Turn",+IF(A28="","",+IF(A28="_","Turn",VLOOKUP(A28,RESULT!$A$14:$W$41,18,FALSE))))</f>
      </c>
      <c r="E28" s="64">
        <f>+IF(A28="","",+IF(A28="_","",VLOOKUP(A28,RESULT!$A$14:$W$41,19,FALSE)))</f>
      </c>
      <c r="F28" s="87">
        <f t="shared" si="0"/>
      </c>
      <c r="G28" s="21">
        <f>+IF(A28="","",+IF(A28="_","",VLOOKUP(A28,RESULT!$A$14:$W$41,2,FALSE)))</f>
      </c>
      <c r="H28" s="65">
        <f>+IF(A28="","",+IF(A28="_",VLOOKUP(A27,RESULT!$A$14:$W$41,21,FALSE)+H27,VLOOKUP(A28,RESULT!$A$14:$W$41,3,FALSE)))</f>
      </c>
      <c r="I28" s="13">
        <f>+IF(A28="","",+IF(A28="_","",VLOOKUP(A28,RESULT!$A$14:$W$41,23,FALSE)+500))</f>
      </c>
    </row>
    <row r="29" spans="1:9" ht="15">
      <c r="A29" s="21">
        <f>IF(A28="","",+IF(A28="_",+A27+1,+IF(VLOOKUP(A28,RESULT!$A$14:$W$41,21,FALSE)&gt;0,"_",IF(A28+1&gt;RESULT!$A$42,"",+A28+1))))</f>
      </c>
      <c r="B29" s="64">
        <f>IF(A29="","",+IF(A29="_","One",VLOOKUP(A29,RESULT!$A$14:$W$41,15,FALSE)-+IF(A28="_",VLOOKUP(A27,RESULT!$A$14:$W$41,15,FALSE),VLOOKUP(A28,RESULT!$A$14:$W$41,15,FALSE))))</f>
      </c>
      <c r="C29" s="13">
        <f>+IF(A29="_","Minute",+IF(A29="","",+IF(A29="_","Minute",VLOOKUP(A29,RESULT!$A$14:$W$41,16,FALSE))))</f>
      </c>
      <c r="D29" s="13">
        <f>+IF(A29="_","Turn",+IF(A29="","",+IF(A29="_","Turn",VLOOKUP(A29,RESULT!$A$14:$W$41,18,FALSE))))</f>
      </c>
      <c r="E29" s="64">
        <f>+IF(A29="","",+IF(A29="_","",VLOOKUP(A29,RESULT!$A$14:$W$41,19,FALSE)))</f>
      </c>
      <c r="F29" s="87">
        <f t="shared" si="0"/>
      </c>
      <c r="G29" s="21">
        <f>+IF(A29="","",+IF(A29="_","",VLOOKUP(A29,RESULT!$A$14:$W$41,2,FALSE)))</f>
      </c>
      <c r="H29" s="65">
        <f>+IF(A29="","",+IF(A29="_",VLOOKUP(A28,RESULT!$A$14:$W$41,21,FALSE)+H28,VLOOKUP(A29,RESULT!$A$14:$W$41,3,FALSE)))</f>
      </c>
      <c r="I29" s="13">
        <f>+IF(A29="","",+IF(A29="_","",VLOOKUP(A29,RESULT!$A$14:$W$41,23,FALSE)+500))</f>
      </c>
    </row>
    <row r="30" spans="1:9" ht="15.75">
      <c r="A30" s="2" t="s">
        <v>46</v>
      </c>
      <c r="B30" s="2"/>
      <c r="C30" s="2"/>
      <c r="D30" s="2"/>
      <c r="E30" s="2"/>
      <c r="F30" s="90">
        <f>IF($B$32="Y","",+'[1]MASTER'!$B$13)</f>
        <v>0.006248478835978835</v>
      </c>
      <c r="G30" s="21"/>
      <c r="H30" s="89" t="e">
        <f>IF($B$32="Y","",+'[1]MASTER'!$B$13+MAX(H11:H29))</f>
        <v>#N/A</v>
      </c>
      <c r="I30" s="51"/>
    </row>
    <row r="31" ht="12.75">
      <c r="A31" s="48"/>
    </row>
    <row r="32" spans="1:2" ht="12.75">
      <c r="A32" s="48"/>
      <c r="B32" s="48"/>
    </row>
  </sheetData>
  <sheetProtection/>
  <mergeCells count="14">
    <mergeCell ref="A1:I1"/>
    <mergeCell ref="A2:I2"/>
    <mergeCell ref="A3:I3"/>
    <mergeCell ref="A4:I4"/>
    <mergeCell ref="B5:C5"/>
    <mergeCell ref="B7:F7"/>
    <mergeCell ref="I11:I12"/>
    <mergeCell ref="D5:F6"/>
    <mergeCell ref="B8:D8"/>
    <mergeCell ref="A11:A12"/>
    <mergeCell ref="B11:B12"/>
    <mergeCell ref="C11:C12"/>
    <mergeCell ref="D11:D12"/>
    <mergeCell ref="E11:E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M34"/>
  <sheetViews>
    <sheetView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1.28125" style="0" bestFit="1" customWidth="1"/>
    <col min="3" max="3" width="12.140625" style="0" bestFit="1" customWidth="1"/>
    <col min="4" max="4" width="15.28125" style="0" bestFit="1" customWidth="1"/>
    <col min="5" max="5" width="9.57421875" style="0" customWidth="1"/>
    <col min="6" max="6" width="10.7109375" style="0" customWidth="1"/>
    <col min="7" max="7" width="14.421875" style="0" customWidth="1"/>
    <col min="8" max="8" width="11.28125" style="0" bestFit="1" customWidth="1"/>
    <col min="9" max="9" width="8.7109375" style="0" bestFit="1" customWidth="1"/>
    <col min="10" max="10" width="11.57421875" style="0" bestFit="1" customWidth="1"/>
    <col min="11" max="11" width="7.28125" style="0" bestFit="1" customWidth="1"/>
  </cols>
  <sheetData>
    <row r="1" ht="12" customHeight="1"/>
    <row r="3" spans="2:3" ht="12.75">
      <c r="B3" s="14"/>
      <c r="C3" s="8"/>
    </row>
    <row r="6" spans="7:13" ht="12.75">
      <c r="G6" s="30"/>
      <c r="H6" s="30"/>
      <c r="L6" s="45"/>
      <c r="M6" s="45"/>
    </row>
    <row r="7" spans="7:8" ht="12.75">
      <c r="G7" s="30"/>
      <c r="H7" s="30"/>
    </row>
    <row r="8" spans="7:8" ht="12.75">
      <c r="G8" s="30"/>
      <c r="H8" s="30"/>
    </row>
    <row r="9" spans="7:8" ht="12.75">
      <c r="G9" s="30"/>
      <c r="H9" s="30"/>
    </row>
    <row r="10" spans="7:8" ht="12.75">
      <c r="G10" s="30"/>
      <c r="H10" s="30"/>
    </row>
    <row r="11" spans="7:8" ht="12.75">
      <c r="G11" s="30"/>
      <c r="H11" s="30"/>
    </row>
    <row r="12" spans="7:8" ht="12.75">
      <c r="G12" s="30"/>
      <c r="H12" s="30"/>
    </row>
    <row r="13" spans="7:8" ht="12.75">
      <c r="G13" s="30"/>
      <c r="H13" s="30"/>
    </row>
    <row r="14" spans="7:8" ht="12.75">
      <c r="G14" s="30"/>
      <c r="H14" s="30"/>
    </row>
    <row r="15" spans="7:8" ht="12.75">
      <c r="G15" s="30"/>
      <c r="H15" s="30"/>
    </row>
    <row r="16" spans="7:8" ht="12.75">
      <c r="G16" s="30"/>
      <c r="H16" s="30"/>
    </row>
    <row r="17" spans="7:8" ht="12.75">
      <c r="G17" s="30"/>
      <c r="H17" s="30"/>
    </row>
    <row r="18" spans="7:8" ht="12.75">
      <c r="G18" s="30"/>
      <c r="H18" s="30"/>
    </row>
    <row r="19" spans="3:8" ht="12.75">
      <c r="C19" s="47"/>
      <c r="G19" s="30"/>
      <c r="H19" s="30"/>
    </row>
    <row r="20" spans="7:8" ht="12.75">
      <c r="G20" s="30"/>
      <c r="H20" s="30"/>
    </row>
    <row r="21" spans="7:8" ht="12.75">
      <c r="G21" s="30"/>
      <c r="H21" s="30"/>
    </row>
    <row r="22" spans="7:8" ht="12.75">
      <c r="G22" s="30"/>
      <c r="H22" s="30"/>
    </row>
    <row r="23" spans="7:8" ht="12.75">
      <c r="G23" s="30"/>
      <c r="H23" s="30"/>
    </row>
    <row r="24" spans="7:8" ht="12.75">
      <c r="G24" s="30"/>
      <c r="H24" s="30"/>
    </row>
    <row r="25" spans="7:8" ht="12.75">
      <c r="G25" s="30"/>
      <c r="H25" s="30"/>
    </row>
    <row r="26" spans="7:8" ht="12.75">
      <c r="G26" s="30"/>
      <c r="H26" s="30"/>
    </row>
    <row r="27" spans="7:8" ht="12.75">
      <c r="G27" s="30"/>
      <c r="H27" s="30"/>
    </row>
    <row r="28" spans="7:8" ht="12.75">
      <c r="G28" s="30"/>
      <c r="H28" s="30"/>
    </row>
    <row r="29" spans="7:8" ht="12.75">
      <c r="G29" s="30"/>
      <c r="H29" s="30"/>
    </row>
    <row r="30" spans="7:8" ht="12.75">
      <c r="G30" s="45"/>
      <c r="H30" s="45"/>
    </row>
    <row r="31" spans="7:8" ht="12.75">
      <c r="G31" s="45"/>
      <c r="H31" s="45"/>
    </row>
    <row r="32" spans="7:8" ht="12.75">
      <c r="G32" s="45"/>
      <c r="H32" s="45"/>
    </row>
    <row r="33" spans="7:8" ht="12.75">
      <c r="G33" s="45"/>
      <c r="H33" s="45"/>
    </row>
    <row r="34" spans="7:8" ht="12.75">
      <c r="G34" s="45"/>
      <c r="H34" s="4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03"/>
  <sheetViews>
    <sheetView zoomScale="75" zoomScaleNormal="75" zoomScalePageLayoutView="0" workbookViewId="0" topLeftCell="A1">
      <selection activeCell="M48" sqref="M48"/>
    </sheetView>
  </sheetViews>
  <sheetFormatPr defaultColWidth="9.140625" defaultRowHeight="12.75"/>
  <cols>
    <col min="1" max="1" width="10.7109375" style="0" customWidth="1"/>
    <col min="2" max="4" width="11.57421875" style="0" customWidth="1"/>
    <col min="5" max="10" width="8.7109375" style="0" customWidth="1"/>
    <col min="11" max="11" width="9.8515625" style="0" customWidth="1"/>
    <col min="12" max="13" width="10.28125" style="0" customWidth="1"/>
    <col min="14" max="14" width="9.28125" style="0" bestFit="1" customWidth="1"/>
    <col min="15" max="15" width="9.28125" style="0" customWidth="1"/>
    <col min="16" max="16" width="9.28125" style="0" bestFit="1" customWidth="1"/>
    <col min="17" max="17" width="9.7109375" style="0" customWidth="1"/>
    <col min="18" max="18" width="11.7109375" style="0" customWidth="1"/>
    <col min="19" max="19" width="10.00390625" style="0" bestFit="1" customWidth="1"/>
    <col min="20" max="20" width="9.8515625" style="0" bestFit="1" customWidth="1"/>
    <col min="21" max="21" width="9.8515625" style="0" customWidth="1"/>
    <col min="24" max="24" width="13.140625" style="118" customWidth="1"/>
  </cols>
  <sheetData>
    <row r="1" spans="1:12" ht="18">
      <c r="A1" s="143" t="str">
        <f>+'Flight Plan'!$A$1</f>
        <v>WPFC 2011 Training Route 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>
      <c r="A2" s="145">
        <f>+'Flight Plan'!A2</f>
        <v>40783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>
      <c r="A3" s="143" t="str">
        <f>+'Flight Plan'!A3</f>
        <v>Brits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6" ht="18">
      <c r="A4" s="143" t="str">
        <f>+'Flight Plan'!$A$4</f>
        <v>Blue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P4" s="48"/>
    </row>
    <row r="5" spans="1:12" ht="15.75">
      <c r="A5" s="66" t="s">
        <v>32</v>
      </c>
      <c r="B5" s="76" t="e">
        <f>+'Flight Plan'!B5:C5</f>
        <v>#N/A</v>
      </c>
      <c r="C5" s="78"/>
      <c r="D5" s="78"/>
      <c r="E5" s="6"/>
      <c r="F5" s="6"/>
      <c r="G5" s="6"/>
      <c r="H5" s="6"/>
      <c r="K5" s="59" t="str">
        <f>+'Flight Plan'!G5</f>
        <v>Papers</v>
      </c>
      <c r="L5" s="86" t="e">
        <f>+'Flight Plan'!H5</f>
        <v>#N/A</v>
      </c>
    </row>
    <row r="6" spans="1:12" ht="15.75">
      <c r="A6" s="22" t="str">
        <f>+'Flight Plan'!A6</f>
        <v>Number</v>
      </c>
      <c r="B6" s="59">
        <f>+'Flight Plan'!B6</f>
        <v>0</v>
      </c>
      <c r="C6" s="6"/>
      <c r="D6" s="6"/>
      <c r="E6" s="46"/>
      <c r="F6" s="46"/>
      <c r="G6" s="46"/>
      <c r="H6" s="46"/>
      <c r="K6" s="24" t="s">
        <v>29</v>
      </c>
      <c r="L6" s="85" t="e">
        <f>+'Flight Plan'!H11</f>
        <v>#N/A</v>
      </c>
    </row>
    <row r="7" spans="1:12" ht="15.75">
      <c r="A7" s="81" t="str">
        <f>+'Flight Plan'!A7</f>
        <v>Pilot</v>
      </c>
      <c r="B7" s="141" t="e">
        <f>+'Flight Plan'!B7</f>
        <v>#N/A</v>
      </c>
      <c r="C7" s="141"/>
      <c r="D7" s="6"/>
      <c r="E7" s="80"/>
      <c r="F7" s="6"/>
      <c r="G7" s="6"/>
      <c r="H7" s="6"/>
      <c r="K7" s="24" t="s">
        <v>30</v>
      </c>
      <c r="L7" s="85">
        <f>+'Flight Plan'!H7</f>
        <v>0.004167526455026455</v>
      </c>
    </row>
    <row r="8" spans="1:12" ht="15.75">
      <c r="A8" s="22" t="str">
        <f>+'Flight Plan'!A8</f>
        <v>Callsign</v>
      </c>
      <c r="B8" s="82" t="e">
        <f>+'Flight Plan'!B8</f>
        <v>#N/A</v>
      </c>
      <c r="C8" s="82"/>
      <c r="D8" s="52" t="str">
        <f>+'Flight Plan'!E8</f>
        <v>Type</v>
      </c>
      <c r="E8" s="83" t="e">
        <f>+'Flight Plan'!F8</f>
        <v>#N/A</v>
      </c>
      <c r="F8" s="79"/>
      <c r="G8" s="6"/>
      <c r="H8" s="6"/>
      <c r="K8" s="101" t="s">
        <v>48</v>
      </c>
      <c r="L8" s="85">
        <f>+'[1]MASTER'!$B$13</f>
        <v>0.006248478835978835</v>
      </c>
    </row>
    <row r="9" spans="1:11" ht="15.75">
      <c r="A9" s="84" t="s">
        <v>4</v>
      </c>
      <c r="B9" s="77" t="e">
        <f>+'Flight Plan'!B9</f>
        <v>#N/A</v>
      </c>
      <c r="E9" s="80"/>
      <c r="F9" s="46"/>
      <c r="G9" s="46"/>
      <c r="H9" s="46"/>
      <c r="I9" s="46"/>
      <c r="J9" s="46"/>
      <c r="K9" s="46"/>
    </row>
    <row r="10" spans="1:15" ht="15.75">
      <c r="A10" s="49" t="s">
        <v>5</v>
      </c>
      <c r="B10" s="1" t="e">
        <f>+'Flight Plan'!B10</f>
        <v>#N/A</v>
      </c>
      <c r="C10" s="49" t="s">
        <v>6</v>
      </c>
      <c r="D10" s="1" t="e">
        <f>+'Flight Plan'!D10</f>
        <v>#N/A</v>
      </c>
      <c r="E10" s="142"/>
      <c r="F10" s="142"/>
      <c r="N10" s="43"/>
      <c r="O10" s="43"/>
    </row>
    <row r="11" spans="1:13" ht="15">
      <c r="A11" s="53" t="str">
        <f>+'[1]Course + Sec'!A11</f>
        <v>Leg No</v>
      </c>
      <c r="B11" s="53" t="str">
        <f>+'[1]Course + Sec'!B11</f>
        <v>POINT</v>
      </c>
      <c r="C11" s="54" t="s">
        <v>7</v>
      </c>
      <c r="D11" s="54" t="s">
        <v>10</v>
      </c>
      <c r="E11" s="54" t="s">
        <v>11</v>
      </c>
      <c r="F11" s="54" t="s">
        <v>12</v>
      </c>
      <c r="G11" s="55" t="s">
        <v>13</v>
      </c>
      <c r="H11" s="95" t="s">
        <v>47</v>
      </c>
      <c r="I11" s="92" t="s">
        <v>22</v>
      </c>
      <c r="J11" s="54" t="s">
        <v>14</v>
      </c>
      <c r="K11" s="55" t="s">
        <v>9</v>
      </c>
      <c r="L11" s="95" t="s">
        <v>44</v>
      </c>
      <c r="M11" s="95" t="s">
        <v>49</v>
      </c>
    </row>
    <row r="12" spans="1:13" ht="15">
      <c r="A12" s="21"/>
      <c r="B12" s="21" t="str">
        <f>+'[1]Course + Sec'!B12</f>
        <v>TOP:</v>
      </c>
      <c r="C12" s="26" t="e">
        <f>+L6</f>
        <v>#N/A</v>
      </c>
      <c r="D12" s="31">
        <f>+'Logger Result'!G6</f>
        <v>0</v>
      </c>
      <c r="E12" s="35" t="e">
        <f>+IF(B12&gt;0,+ROUND((+D12-C12)*86400,0),"")</f>
        <v>#N/A</v>
      </c>
      <c r="F12" s="23" t="e">
        <f>IF(B12&gt;0,IF(E12&gt;'[1]PENALTIES'!$C$13,'[1]PENALTIES'!$D$13,IF(E12&lt;0,'[1]PENALTIES'!$D$13,0)),0)</f>
        <v>#N/A</v>
      </c>
      <c r="G12" s="38" t="str">
        <f>+IF(B12&gt;0,+IF('Logger Result'!I6=1,"0",(+IF(A12&gt;0,(+'[1]PENALTIES'!$D$17),"0"))),"0")</f>
        <v>0</v>
      </c>
      <c r="H12" s="97" t="e">
        <f>+(F12+G12)</f>
        <v>#N/A</v>
      </c>
      <c r="I12" s="93"/>
      <c r="J12" s="36"/>
      <c r="K12" s="38" t="str">
        <f>+IF('Logger Result'!J6=0,"0",(+'[1]PENALTIES'!$D$24*'Logger Result'!J6))</f>
        <v>0</v>
      </c>
      <c r="L12" s="37"/>
      <c r="M12" s="103" t="e">
        <f>IF(B12&gt;0,+SUM(H12+J12+K12+L12),"")</f>
        <v>#N/A</v>
      </c>
    </row>
    <row r="13" spans="1:23" ht="15">
      <c r="A13" s="21"/>
      <c r="B13" s="21" t="str">
        <f>+'[1]Course + Sec'!B13</f>
        <v>LDP:</v>
      </c>
      <c r="C13" s="20" t="e">
        <f>+L6+L7+T42+L8</f>
        <v>#N/A</v>
      </c>
      <c r="D13" s="31">
        <f>+'Logger Result'!G7</f>
        <v>0</v>
      </c>
      <c r="E13" s="35" t="e">
        <f aca="true" t="shared" si="0" ref="E13:E41">+IF(B13&gt;0,+ROUND((+D13-C13)*86400,0),"")</f>
        <v>#N/A</v>
      </c>
      <c r="F13" s="23" t="e">
        <f>+IF((D13&gt;C13),+'[1]PENALTIES'!$E$27,"0")</f>
        <v>#N/A</v>
      </c>
      <c r="G13" s="38" t="str">
        <f>+IF(B13&gt;0,+IF('Logger Result'!I7=1,"0",(+IF(A13&gt;0,(+'[1]PENALTIES'!$D$17),"0"))),"0")</f>
        <v>0</v>
      </c>
      <c r="H13" s="97" t="e">
        <f>+(F13+G13+J13)</f>
        <v>#N/A</v>
      </c>
      <c r="I13" s="93"/>
      <c r="J13" s="36"/>
      <c r="K13" s="38" t="str">
        <f>+IF('Logger Result'!J7=0,"0",(+'[1]PENALTIES'!$D$24*'Logger Result'!J7))</f>
        <v>0</v>
      </c>
      <c r="L13" s="37"/>
      <c r="M13" s="103" t="e">
        <f aca="true" t="shared" si="1" ref="M13:M41">IF(B13&gt;0,+SUM(H13+J13+K13+L13),"")</f>
        <v>#N/A</v>
      </c>
      <c r="N13" s="102" t="s">
        <v>8</v>
      </c>
      <c r="O13" s="56" t="s">
        <v>42</v>
      </c>
      <c r="P13" s="7" t="s">
        <v>9</v>
      </c>
      <c r="Q13" s="7" t="s">
        <v>15</v>
      </c>
      <c r="R13" s="7" t="s">
        <v>16</v>
      </c>
      <c r="S13" s="7" t="s">
        <v>17</v>
      </c>
      <c r="T13" s="9" t="s">
        <v>18</v>
      </c>
      <c r="U13" s="57" t="s">
        <v>44</v>
      </c>
      <c r="V13" s="9" t="s">
        <v>19</v>
      </c>
      <c r="W13" s="57" t="s">
        <v>43</v>
      </c>
    </row>
    <row r="14" spans="1:23" ht="15">
      <c r="A14" s="21">
        <v>0</v>
      </c>
      <c r="B14" s="21" t="str">
        <f>+'[1]Course + Sec'!B14</f>
        <v>Strt:</v>
      </c>
      <c r="C14" s="32" t="e">
        <f>+C12+L7</f>
        <v>#N/A</v>
      </c>
      <c r="D14" s="33">
        <f>+IF(B14&gt;0,('Logger Result'!G8),"")</f>
        <v>0</v>
      </c>
      <c r="E14" s="35" t="e">
        <f t="shared" si="0"/>
        <v>#N/A</v>
      </c>
      <c r="F14" s="36" t="e">
        <f>+IF(B14&gt;0,IF(E14&gt;('[1]PENALTIES'!$E$16/'[1]PENALTIES'!$D$16++'[1]PENALTIES'!$C$15),'[1]PENALTIES'!$E$16,(+IF((ABS(E14)&gt;'[1]PENALTIES'!$C$15),((ABS(E14)-+'[1]PENALTIES'!$C$15)*'[1]PENALTIES'!$D$16),"0"))),"0")</f>
        <v>#N/A</v>
      </c>
      <c r="G14" s="38" t="str">
        <f>+IF(B14&gt;0,+IF('Logger Result'!I8=1,"0",(+IF(A14&gt;0,(+'[1]PENALTIES'!$D$17),"0"))),"0")</f>
        <v>0</v>
      </c>
      <c r="H14" s="97" t="e">
        <f>+IF((F14+G14)&gt;+'[1]PENALTIES'!$E$16,+'[1]PENALTIES'!$E$16,(F14))</f>
        <v>#N/A</v>
      </c>
      <c r="I14" s="94">
        <f>+IF(B14&gt;0,('Logger Result'!K8),"")</f>
        <v>0</v>
      </c>
      <c r="J14" s="36">
        <f>+IF(I14&gt;W14+500,"0",(+'[1]PENALTIES'!$D$21))</f>
        <v>500</v>
      </c>
      <c r="K14" s="38" t="str">
        <f>+IF('Logger Result'!J8=0,"0",(+'[1]PENALTIES'!$D$24*'Logger Result'!J8))</f>
        <v>0</v>
      </c>
      <c r="L14" s="37">
        <f>+IF(B14&gt;0,+IF(U14=0,0,+'[1]PENALTIES'!$D$19),"")</f>
        <v>0</v>
      </c>
      <c r="M14" s="103" t="e">
        <f t="shared" si="1"/>
        <v>#N/A</v>
      </c>
      <c r="N14" s="19">
        <f>+'[1]Course + Sec'!C14</f>
        <v>0</v>
      </c>
      <c r="O14" s="19">
        <f>+N14</f>
        <v>0</v>
      </c>
      <c r="P14" s="17">
        <f>+'[1]Course + Sec'!D14</f>
        <v>0</v>
      </c>
      <c r="Q14" s="18" t="e">
        <f aca="true" t="shared" si="2" ref="Q14:Q41">IF(B14&gt;0,+ASIN($D$10*((SIN(($B$10-P14)*PI()/180))/$B$9))*180/PI(),"")</f>
        <v>#N/A</v>
      </c>
      <c r="R14" s="18" t="e">
        <f aca="true" t="shared" si="3" ref="R14:R41">+IF(B14&gt;0,SUM(+P14+Q14),"")</f>
        <v>#N/A</v>
      </c>
      <c r="S14" s="10" t="e">
        <f aca="true" t="shared" si="4" ref="S14:S41">+IF(B14&gt;0,+SQRT(($B$9*$B$9+$D$10*$D$10)-((2*$B$9*$D$10)*(COS(($B$10-P14-Q14)*PI()/180)))),"")</f>
        <v>#N/A</v>
      </c>
      <c r="T14" s="44" t="e">
        <f>IF((B14&gt;0),((N14/S14)/24),"")</f>
        <v>#N/A</v>
      </c>
      <c r="U14" s="44"/>
      <c r="V14" s="11" t="e">
        <f>+T14</f>
        <v>#N/A</v>
      </c>
      <c r="W14" s="58">
        <f>+'[1]Course + Sec'!E14</f>
        <v>3477.6902887139104</v>
      </c>
    </row>
    <row r="15" spans="1:23" ht="15">
      <c r="A15" s="21">
        <f>IF(+'[1]Course + Sec'!A15&gt;0,+'[1]Course + Sec'!A15,"")</f>
      </c>
      <c r="B15" s="21" t="str">
        <f>+'[1]Course + Sec'!B15</f>
        <v>Sec1:</v>
      </c>
      <c r="C15" s="32" t="e">
        <f aca="true" t="shared" si="5" ref="C15:C41">+IF(B15&gt;0,+ROUND((+C14+T15)*24*60*60,0)/24/60/60,"")</f>
        <v>#N/A</v>
      </c>
      <c r="D15" s="33">
        <f>+IF(B15&gt;0,+ROUND(('Logger Result'!G9)*24*60*60,0)/24/60/60,"")</f>
        <v>0</v>
      </c>
      <c r="E15" s="35" t="e">
        <f t="shared" si="0"/>
        <v>#N/A</v>
      </c>
      <c r="F15" s="36" t="e">
        <f>+IF(B15&gt;0,IF(E15&gt;('[1]PENALTIES'!$E$16/'[1]PENALTIES'!$D$16++'[1]PENALTIES'!$C$15),'[1]PENALTIES'!$E$16,(+IF((ABS(E15)&gt;'[1]PENALTIES'!$C$15),((ABS(E15)-+'[1]PENALTIES'!$C$15)*'[1]PENALTIES'!$D$16),"0"))),"0")</f>
        <v>#N/A</v>
      </c>
      <c r="G15" s="38">
        <f>+IF(B15&gt;0,+IF('Logger Result'!I9=1,"0",(+IF(A15&gt;0,(+'[1]PENALTIES'!$D$17),"0"))),"0")</f>
        <v>100</v>
      </c>
      <c r="H15" s="97" t="e">
        <f>+IF((F15+G15)&gt;+'[1]PENALTIES'!$E$16,+'[1]PENALTIES'!$E$16,(F15))</f>
        <v>#N/A</v>
      </c>
      <c r="I15" s="94">
        <f>+IF(B15&gt;0,('Logger Result'!K9),"")</f>
        <v>0</v>
      </c>
      <c r="J15" s="36">
        <f>+IF(I15&gt;W15+500,"0",(+'[1]PENALTIES'!$D$21))</f>
        <v>500</v>
      </c>
      <c r="K15" s="38" t="str">
        <f>+IF('Logger Result'!J9=0,"0",(+'[1]PENALTIES'!$D$24*'Logger Result'!J9))</f>
        <v>0</v>
      </c>
      <c r="L15" s="37">
        <f>+IF(B15&gt;0,+IF(U15=0,0,+'[1]PENALTIES'!$D$19),"")</f>
        <v>0</v>
      </c>
      <c r="M15" s="103" t="e">
        <f t="shared" si="1"/>
        <v>#N/A</v>
      </c>
      <c r="N15" s="19">
        <f>+'[1]Course + Sec'!C15</f>
        <v>1.41792656587473</v>
      </c>
      <c r="O15" s="19">
        <f aca="true" t="shared" si="6" ref="O15:O41">+N15+O14</f>
        <v>1.41792656587473</v>
      </c>
      <c r="P15" s="17">
        <f>+'[1]Course + Sec'!D15</f>
        <v>254</v>
      </c>
      <c r="Q15" s="18" t="e">
        <f t="shared" si="2"/>
        <v>#N/A</v>
      </c>
      <c r="R15" s="18" t="e">
        <f t="shared" si="3"/>
        <v>#N/A</v>
      </c>
      <c r="S15" s="10" t="e">
        <f t="shared" si="4"/>
        <v>#N/A</v>
      </c>
      <c r="T15" s="44" t="e">
        <f>IF((B15&gt;0),((N15/S15)/24)+U14,"")</f>
        <v>#N/A</v>
      </c>
      <c r="U15" s="44">
        <f>IF((B15&gt;0),+'[1]Course + Sec'!G15,"")</f>
        <v>0</v>
      </c>
      <c r="V15" s="11" t="e">
        <f aca="true" t="shared" si="7" ref="V15:V41">+IF(B15&gt;0,(+T15+U15+V14),"")</f>
        <v>#N/A</v>
      </c>
      <c r="W15" s="58">
        <f>+'[1]Course + Sec'!E15</f>
        <v>0</v>
      </c>
    </row>
    <row r="16" spans="1:23" ht="15">
      <c r="A16" s="21">
        <f>IF(+'[1]Course + Sec'!A16&gt;0,+'[1]Course + Sec'!A16,"")</f>
        <v>1</v>
      </c>
      <c r="B16" s="21" t="str">
        <f>+'[1]Course + Sec'!B16</f>
        <v>CP1:</v>
      </c>
      <c r="C16" s="32" t="e">
        <f t="shared" si="5"/>
        <v>#N/A</v>
      </c>
      <c r="D16" s="33">
        <f>+IF(B16&gt;0,+ROUND(('Logger Result'!G10)*24*60*60,0)/24/60/60,"")</f>
        <v>0</v>
      </c>
      <c r="E16" s="35" t="e">
        <f t="shared" si="0"/>
        <v>#N/A</v>
      </c>
      <c r="F16" s="36" t="e">
        <f>+IF(B16&gt;0,IF(E16&gt;('[1]PENALTIES'!$E$16/'[1]PENALTIES'!$D$16++'[1]PENALTIES'!$C$15),'[1]PENALTIES'!$E$16,(+IF((ABS(E16)&gt;'[1]PENALTIES'!$C$15),((ABS(E16)-+'[1]PENALTIES'!$C$15)*'[1]PENALTIES'!$D$16),"0"))),"0")</f>
        <v>#N/A</v>
      </c>
      <c r="G16" s="38">
        <f>+IF(B16&gt;0,+IF('Logger Result'!I10=1,"0",(+IF(A16&gt;0,(+'[1]PENALTIES'!$D$17),"0"))),"0")</f>
        <v>100</v>
      </c>
      <c r="H16" s="97" t="e">
        <f>+IF((F16+G16)&gt;+'[1]PENALTIES'!$E$16,+'[1]PENALTIES'!$E$16,(F16))</f>
        <v>#N/A</v>
      </c>
      <c r="I16" s="94">
        <f>+IF(B16&gt;0,('Logger Result'!K10),"")</f>
        <v>0</v>
      </c>
      <c r="J16" s="36">
        <f>+IF(I16&gt;W16+500,"0",(+'[1]PENALTIES'!$D$21))</f>
        <v>500</v>
      </c>
      <c r="K16" s="38" t="str">
        <f>+IF('Logger Result'!J10=0,"0",(+'[1]PENALTIES'!$D$24*'Logger Result'!J10))</f>
        <v>0</v>
      </c>
      <c r="L16" s="37">
        <f>+IF(B16&gt;0,+IF(U16=0,0,+'[1]PENALTIES'!$D$19),"")</f>
        <v>0</v>
      </c>
      <c r="M16" s="103" t="e">
        <f t="shared" si="1"/>
        <v>#N/A</v>
      </c>
      <c r="N16" s="19">
        <f>+'[1]Course + Sec'!C16</f>
        <v>4.620410367170626</v>
      </c>
      <c r="O16" s="19">
        <f t="shared" si="6"/>
        <v>6.038336933045356</v>
      </c>
      <c r="P16" s="17">
        <f>+'[1]Course + Sec'!D16</f>
        <v>254</v>
      </c>
      <c r="Q16" s="18" t="e">
        <f t="shared" si="2"/>
        <v>#N/A</v>
      </c>
      <c r="R16" s="18" t="e">
        <f t="shared" si="3"/>
        <v>#N/A</v>
      </c>
      <c r="S16" s="10" t="e">
        <f t="shared" si="4"/>
        <v>#N/A</v>
      </c>
      <c r="T16" s="44" t="e">
        <f aca="true" t="shared" si="8" ref="T16:T41">IF((B16&gt;0),((N16/S16)/24)+U15,"")</f>
        <v>#N/A</v>
      </c>
      <c r="U16" s="44">
        <f>IF((B16&gt;0),+'[1]Course + Sec'!G16,"")</f>
        <v>0</v>
      </c>
      <c r="V16" s="11" t="e">
        <f t="shared" si="7"/>
        <v>#N/A</v>
      </c>
      <c r="W16" s="58">
        <f>+'[1]Course + Sec'!E16</f>
        <v>3974.7375328083986</v>
      </c>
    </row>
    <row r="17" spans="1:23" ht="15">
      <c r="A17" s="21">
        <f>IF(+'[1]Course + Sec'!A17&gt;0,+'[1]Course + Sec'!A17,"")</f>
      </c>
      <c r="B17" s="21" t="str">
        <f>+'[1]Course + Sec'!B17</f>
        <v>Sec2:</v>
      </c>
      <c r="C17" s="32" t="e">
        <f t="shared" si="5"/>
        <v>#N/A</v>
      </c>
      <c r="D17" s="33">
        <f>+IF(B17&gt;0,+ROUND(('Logger Result'!G11)*24*60*60,0)/24/60/60,"")</f>
        <v>0</v>
      </c>
      <c r="E17" s="35" t="e">
        <f t="shared" si="0"/>
        <v>#N/A</v>
      </c>
      <c r="F17" s="36" t="e">
        <f>+IF(B17&gt;0,IF(E17&gt;('[1]PENALTIES'!$E$16/'[1]PENALTIES'!$D$16++'[1]PENALTIES'!$C$15),'[1]PENALTIES'!$E$16,(+IF((ABS(E17)&gt;'[1]PENALTIES'!$C$15),((ABS(E17)-+'[1]PENALTIES'!$C$15)*'[1]PENALTIES'!$D$16),"0"))),"0")</f>
        <v>#N/A</v>
      </c>
      <c r="G17" s="38">
        <f>+IF(B17&gt;0,+IF('Logger Result'!I11=1,"0",(+IF(A17&gt;0,(+'[1]PENALTIES'!$D$17),"0"))),"0")</f>
        <v>100</v>
      </c>
      <c r="H17" s="97" t="e">
        <f>+IF((F17+G17)&gt;+'[1]PENALTIES'!$E$16,+'[1]PENALTIES'!$E$16,(F17))</f>
        <v>#N/A</v>
      </c>
      <c r="I17" s="94">
        <f>+IF(B17&gt;0,('Logger Result'!K11),"")</f>
        <v>0</v>
      </c>
      <c r="J17" s="36">
        <f>+IF(I17&gt;W17+500,"0",(+'[1]PENALTIES'!$D$21))</f>
        <v>500</v>
      </c>
      <c r="K17" s="38" t="str">
        <f>+IF('Logger Result'!J11=0,"0",(+'[1]PENALTIES'!$D$24*'Logger Result'!J11))</f>
        <v>0</v>
      </c>
      <c r="L17" s="37">
        <f>+IF(B17&gt;0,+IF(U17=0,0,+'[1]PENALTIES'!$D$19),"")</f>
        <v>0</v>
      </c>
      <c r="M17" s="103" t="e">
        <f t="shared" si="1"/>
        <v>#N/A</v>
      </c>
      <c r="N17" s="19">
        <f>+'[1]Course + Sec'!C17</f>
        <v>5.334773218142549</v>
      </c>
      <c r="O17" s="19">
        <f t="shared" si="6"/>
        <v>11.373110151187905</v>
      </c>
      <c r="P17" s="17">
        <f>+'[1]Course + Sec'!D17</f>
        <v>327</v>
      </c>
      <c r="Q17" s="18" t="e">
        <f t="shared" si="2"/>
        <v>#N/A</v>
      </c>
      <c r="R17" s="18" t="e">
        <f t="shared" si="3"/>
        <v>#N/A</v>
      </c>
      <c r="S17" s="10" t="e">
        <f t="shared" si="4"/>
        <v>#N/A</v>
      </c>
      <c r="T17" s="44" t="e">
        <f t="shared" si="8"/>
        <v>#N/A</v>
      </c>
      <c r="U17" s="44">
        <f>IF((B17&gt;0),+'[1]Course + Sec'!G17,"")</f>
        <v>0</v>
      </c>
      <c r="V17" s="11" t="e">
        <f t="shared" si="7"/>
        <v>#N/A</v>
      </c>
      <c r="W17" s="58">
        <f>+'[1]Course + Sec'!E17</f>
        <v>0</v>
      </c>
    </row>
    <row r="18" spans="1:23" ht="15">
      <c r="A18" s="21">
        <f>IF(+'[1]Course + Sec'!A18&gt;0,+'[1]Course + Sec'!A18,"")</f>
      </c>
      <c r="B18" s="21" t="str">
        <f>+'[1]Course + Sec'!B18</f>
        <v>Sec3:</v>
      </c>
      <c r="C18" s="32" t="e">
        <f t="shared" si="5"/>
        <v>#N/A</v>
      </c>
      <c r="D18" s="33">
        <f>+IF(B18&gt;0,+ROUND(('Logger Result'!G12)*24*60*60,0)/24/60/60,"")</f>
        <v>0</v>
      </c>
      <c r="E18" s="35" t="e">
        <f t="shared" si="0"/>
        <v>#N/A</v>
      </c>
      <c r="F18" s="36" t="e">
        <f>+IF(B18&gt;0,IF(E18&gt;('[1]PENALTIES'!$E$16/'[1]PENALTIES'!$D$16++'[1]PENALTIES'!$C$15),'[1]PENALTIES'!$E$16,(+IF((ABS(E18)&gt;'[1]PENALTIES'!$C$15),((ABS(E18)-+'[1]PENALTIES'!$C$15)*'[1]PENALTIES'!$D$16),"0"))),"0")</f>
        <v>#N/A</v>
      </c>
      <c r="G18" s="38">
        <f>+IF(B18&gt;0,+IF('Logger Result'!I12=1,"0",(+IF(A18&gt;0,(+'[1]PENALTIES'!$D$17),"0"))),"0")</f>
        <v>100</v>
      </c>
      <c r="H18" s="97" t="e">
        <f>+IF((F18+G18)&gt;+'[1]PENALTIES'!$E$16,+'[1]PENALTIES'!$E$16,(F18))</f>
        <v>#N/A</v>
      </c>
      <c r="I18" s="94">
        <f>+IF(B18&gt;0,('Logger Result'!K12),"")</f>
        <v>0</v>
      </c>
      <c r="J18" s="36">
        <f>+IF(I18&gt;W18+500,"0",(+'[1]PENALTIES'!$D$21))</f>
        <v>500</v>
      </c>
      <c r="K18" s="38" t="str">
        <f>+IF('Logger Result'!J12=0,"0",(+'[1]PENALTIES'!$D$24*'Logger Result'!J12))</f>
        <v>0</v>
      </c>
      <c r="L18" s="37">
        <f>+IF(B18&gt;0,+IF(U18=0,0,+'[1]PENALTIES'!$D$19),"")</f>
        <v>0</v>
      </c>
      <c r="M18" s="103" t="e">
        <f t="shared" si="1"/>
        <v>#N/A</v>
      </c>
      <c r="N18" s="19">
        <f>+'[1]Course + Sec'!C18</f>
        <v>1.0383369330453565</v>
      </c>
      <c r="O18" s="19">
        <f t="shared" si="6"/>
        <v>12.411447084233261</v>
      </c>
      <c r="P18" s="17">
        <f>+'[1]Course + Sec'!D18</f>
        <v>327</v>
      </c>
      <c r="Q18" s="18" t="e">
        <f t="shared" si="2"/>
        <v>#N/A</v>
      </c>
      <c r="R18" s="18" t="e">
        <f t="shared" si="3"/>
        <v>#N/A</v>
      </c>
      <c r="S18" s="10" t="e">
        <f t="shared" si="4"/>
        <v>#N/A</v>
      </c>
      <c r="T18" s="44" t="e">
        <f t="shared" si="8"/>
        <v>#N/A</v>
      </c>
      <c r="U18" s="44">
        <f>IF((B18&gt;0),+'[1]Course + Sec'!G18,"")</f>
        <v>0</v>
      </c>
      <c r="V18" s="11" t="e">
        <f t="shared" si="7"/>
        <v>#N/A</v>
      </c>
      <c r="W18" s="58">
        <f>+'[1]Course + Sec'!E18</f>
        <v>0</v>
      </c>
    </row>
    <row r="19" spans="1:23" ht="15">
      <c r="A19" s="21">
        <f>IF(+'[1]Course + Sec'!A19&gt;0,+'[1]Course + Sec'!A19,"")</f>
      </c>
      <c r="B19" s="21" t="str">
        <f>+'[1]Course + Sec'!B19</f>
        <v>Sec4:</v>
      </c>
      <c r="C19" s="32" t="e">
        <f t="shared" si="5"/>
        <v>#N/A</v>
      </c>
      <c r="D19" s="33">
        <f>+IF(B19&gt;0,+ROUND(('Logger Result'!G13)*24*60*60,0)/24/60/60,"")</f>
        <v>0</v>
      </c>
      <c r="E19" s="35" t="e">
        <f t="shared" si="0"/>
        <v>#N/A</v>
      </c>
      <c r="F19" s="36" t="e">
        <f>+IF(B19&gt;0,IF(E19&gt;('[1]PENALTIES'!$E$16/'[1]PENALTIES'!$D$16++'[1]PENALTIES'!$C$15),'[1]PENALTIES'!$E$16,(+IF((ABS(E19)&gt;'[1]PENALTIES'!$C$15),((ABS(E19)-+'[1]PENALTIES'!$C$15)*'[1]PENALTIES'!$D$16),"0"))),"0")</f>
        <v>#N/A</v>
      </c>
      <c r="G19" s="38">
        <f>+IF(B19&gt;0,+IF('Logger Result'!I13=1,"0",(+IF(A19&gt;0,(+'[1]PENALTIES'!$D$17),"0"))),"0")</f>
        <v>100</v>
      </c>
      <c r="H19" s="97" t="e">
        <f>+IF((F19+G19)&gt;+'[1]PENALTIES'!$E$16,+'[1]PENALTIES'!$E$16,(F19))</f>
        <v>#N/A</v>
      </c>
      <c r="I19" s="94">
        <f>+IF(B19&gt;0,('Logger Result'!K13),"")</f>
        <v>0</v>
      </c>
      <c r="J19" s="36">
        <f>+IF(I19&gt;W19+500,"0",(+'[1]PENALTIES'!$D$21))</f>
        <v>500</v>
      </c>
      <c r="K19" s="38" t="str">
        <f>+IF('Logger Result'!J13=0,"0",(+'[1]PENALTIES'!$D$24*'Logger Result'!J13))</f>
        <v>0</v>
      </c>
      <c r="L19" s="37">
        <f>+IF(B19&gt;0,+IF(U19=0,0,+'[1]PENALTIES'!$D$19),"")</f>
        <v>0</v>
      </c>
      <c r="M19" s="103" t="e">
        <f t="shared" si="1"/>
        <v>#N/A</v>
      </c>
      <c r="N19" s="19">
        <f>+'[1]Course + Sec'!C19</f>
        <v>0.22354211663066956</v>
      </c>
      <c r="O19" s="19">
        <f t="shared" si="6"/>
        <v>12.63498920086393</v>
      </c>
      <c r="P19" s="17">
        <f>+'[1]Course + Sec'!D19</f>
        <v>327</v>
      </c>
      <c r="Q19" s="18" t="e">
        <f t="shared" si="2"/>
        <v>#N/A</v>
      </c>
      <c r="R19" s="18" t="e">
        <f t="shared" si="3"/>
        <v>#N/A</v>
      </c>
      <c r="S19" s="10" t="e">
        <f t="shared" si="4"/>
        <v>#N/A</v>
      </c>
      <c r="T19" s="44" t="e">
        <f t="shared" si="8"/>
        <v>#N/A</v>
      </c>
      <c r="U19" s="44">
        <f>IF((B19&gt;0),+'[1]Course + Sec'!G19,"")</f>
        <v>0</v>
      </c>
      <c r="V19" s="11" t="e">
        <f t="shared" si="7"/>
        <v>#N/A</v>
      </c>
      <c r="W19" s="58">
        <f>+'[1]Course + Sec'!E19</f>
        <v>0</v>
      </c>
    </row>
    <row r="20" spans="1:23" ht="15">
      <c r="A20" s="21">
        <f>IF(+'[1]Course + Sec'!A20&gt;0,+'[1]Course + Sec'!A20,"")</f>
        <v>2</v>
      </c>
      <c r="B20" s="21" t="str">
        <f>+'[1]Course + Sec'!B20</f>
        <v>CP2:</v>
      </c>
      <c r="C20" s="32" t="e">
        <f t="shared" si="5"/>
        <v>#N/A</v>
      </c>
      <c r="D20" s="33">
        <f>+IF(B20&gt;0,+ROUND(('Logger Result'!G14)*24*60*60,0)/24/60/60,"")</f>
        <v>0</v>
      </c>
      <c r="E20" s="35" t="e">
        <f t="shared" si="0"/>
        <v>#N/A</v>
      </c>
      <c r="F20" s="36" t="e">
        <f>+IF(B20&gt;0,IF(E20&gt;('[1]PENALTIES'!$E$16/'[1]PENALTIES'!$D$16++'[1]PENALTIES'!$C$15),'[1]PENALTIES'!$E$16,(+IF((ABS(E20)&gt;'[1]PENALTIES'!$C$15),((ABS(E20)-+'[1]PENALTIES'!$C$15)*'[1]PENALTIES'!$D$16),"0"))),"0")</f>
        <v>#N/A</v>
      </c>
      <c r="G20" s="38">
        <f>+IF(B20&gt;0,+IF('Logger Result'!I14=1,"0",(+IF(A20&gt;0,(+'[1]PENALTIES'!$D$17),"0"))),"0")</f>
        <v>100</v>
      </c>
      <c r="H20" s="97" t="e">
        <f>+IF((F20+G20)&gt;+'[1]PENALTIES'!$E$16,+'[1]PENALTIES'!$E$16,(F20))</f>
        <v>#N/A</v>
      </c>
      <c r="I20" s="94">
        <f>+IF(B20&gt;0,('Logger Result'!K14),"")</f>
        <v>0</v>
      </c>
      <c r="J20" s="36">
        <f>+IF(I20&gt;W20+500,"0",(+'[1]PENALTIES'!$D$21))</f>
        <v>500</v>
      </c>
      <c r="K20" s="38" t="str">
        <f>+IF('Logger Result'!J14=0,"0",(+'[1]PENALTIES'!$D$24*'Logger Result'!J14))</f>
        <v>0</v>
      </c>
      <c r="L20" s="37">
        <f>+IF(B20&gt;0,+IF(U20=0,0,+'[1]PENALTIES'!$D$19),"")</f>
        <v>0</v>
      </c>
      <c r="M20" s="103" t="e">
        <f t="shared" si="1"/>
        <v>#N/A</v>
      </c>
      <c r="N20" s="19">
        <f>+'[1]Course + Sec'!C20</f>
        <v>1.681965442764579</v>
      </c>
      <c r="O20" s="19">
        <f t="shared" si="6"/>
        <v>14.31695464362851</v>
      </c>
      <c r="P20" s="17">
        <f>+'[1]Course + Sec'!D20</f>
        <v>327</v>
      </c>
      <c r="Q20" s="18" t="e">
        <f t="shared" si="2"/>
        <v>#N/A</v>
      </c>
      <c r="R20" s="18" t="e">
        <f t="shared" si="3"/>
        <v>#N/A</v>
      </c>
      <c r="S20" s="10" t="e">
        <f t="shared" si="4"/>
        <v>#N/A</v>
      </c>
      <c r="T20" s="44" t="e">
        <f t="shared" si="8"/>
        <v>#N/A</v>
      </c>
      <c r="U20" s="44">
        <f>IF((B20&gt;0),+'[1]Course + Sec'!G20,"")</f>
        <v>0</v>
      </c>
      <c r="V20" s="11" t="e">
        <f t="shared" si="7"/>
        <v>#N/A</v>
      </c>
      <c r="W20" s="58">
        <f>+'[1]Course + Sec'!E20</f>
        <v>3879.2650918635172</v>
      </c>
    </row>
    <row r="21" spans="1:23" ht="15">
      <c r="A21" s="21">
        <f>IF(+'[1]Course + Sec'!A21&gt;0,+'[1]Course + Sec'!A21,"")</f>
      </c>
      <c r="B21" s="21" t="str">
        <f>+'[1]Course + Sec'!B21</f>
        <v>SEC5:</v>
      </c>
      <c r="C21" s="32" t="e">
        <f t="shared" si="5"/>
        <v>#N/A</v>
      </c>
      <c r="D21" s="33">
        <f>+IF(B21&gt;0,+ROUND(('Logger Result'!G15)*24*60*60,0)/24/60/60,"")</f>
        <v>0</v>
      </c>
      <c r="E21" s="35" t="e">
        <f t="shared" si="0"/>
        <v>#N/A</v>
      </c>
      <c r="F21" s="36" t="e">
        <f>+IF(B21&gt;0,IF(E21&gt;('[1]PENALTIES'!$E$16/'[1]PENALTIES'!$D$16++'[1]PENALTIES'!$C$15),'[1]PENALTIES'!$E$16,(+IF((ABS(E21)&gt;'[1]PENALTIES'!$C$15),((ABS(E21)-+'[1]PENALTIES'!$C$15)*'[1]PENALTIES'!$D$16),"0"))),"0")</f>
        <v>#N/A</v>
      </c>
      <c r="G21" s="38">
        <f>+IF(B21&gt;0,+IF('Logger Result'!I15=1,"0",(+IF(A21&gt;0,(+'[1]PENALTIES'!$D$17),"0"))),"0")</f>
        <v>100</v>
      </c>
      <c r="H21" s="97" t="e">
        <f>+IF((F21+G21)&gt;+'[1]PENALTIES'!$E$16,+'[1]PENALTIES'!$E$16,(F21))</f>
        <v>#N/A</v>
      </c>
      <c r="I21" s="94">
        <f>+IF(B21&gt;0,('Logger Result'!K15),"")</f>
        <v>0</v>
      </c>
      <c r="J21" s="36">
        <f>+IF(I21&gt;W21+500,"0",(+'[1]PENALTIES'!$D$21))</f>
        <v>500</v>
      </c>
      <c r="K21" s="38" t="str">
        <f>+IF('Logger Result'!J15=0,"0",(+'[1]PENALTIES'!$D$24*'Logger Result'!J15))</f>
        <v>0</v>
      </c>
      <c r="L21" s="37">
        <f>+IF(B21&gt;0,+IF(U21=0,0,+'[1]PENALTIES'!$D$19),"")</f>
        <v>0</v>
      </c>
      <c r="M21" s="103" t="e">
        <f t="shared" si="1"/>
        <v>#N/A</v>
      </c>
      <c r="N21" s="19">
        <f>+'[1]Course + Sec'!C21</f>
        <v>8.510259179265658</v>
      </c>
      <c r="O21" s="19">
        <f t="shared" si="6"/>
        <v>22.827213822894166</v>
      </c>
      <c r="P21" s="17">
        <f>+'[1]Course + Sec'!D21</f>
        <v>324</v>
      </c>
      <c r="Q21" s="18" t="e">
        <f t="shared" si="2"/>
        <v>#N/A</v>
      </c>
      <c r="R21" s="18" t="e">
        <f t="shared" si="3"/>
        <v>#N/A</v>
      </c>
      <c r="S21" s="10" t="e">
        <f t="shared" si="4"/>
        <v>#N/A</v>
      </c>
      <c r="T21" s="44" t="e">
        <f t="shared" si="8"/>
        <v>#N/A</v>
      </c>
      <c r="U21" s="44">
        <f>IF((B21&gt;0),+'[1]Course + Sec'!G21,"")</f>
        <v>0</v>
      </c>
      <c r="V21" s="11" t="e">
        <f t="shared" si="7"/>
        <v>#N/A</v>
      </c>
      <c r="W21" s="58">
        <f>+'[1]Course + Sec'!E21</f>
        <v>0</v>
      </c>
    </row>
    <row r="22" spans="1:23" ht="15">
      <c r="A22" s="21">
        <f>IF(+'[1]Course + Sec'!A22&gt;0,+'[1]Course + Sec'!A22,"")</f>
        <v>3</v>
      </c>
      <c r="B22" s="21" t="str">
        <f>+'[1]Course + Sec'!B22</f>
        <v>CP3:</v>
      </c>
      <c r="C22" s="32" t="e">
        <f t="shared" si="5"/>
        <v>#N/A</v>
      </c>
      <c r="D22" s="33">
        <f>+IF(B22&gt;0,+ROUND(('Logger Result'!G16)*24*60*60,0)/24/60/60,"")</f>
        <v>0</v>
      </c>
      <c r="E22" s="35" t="e">
        <f t="shared" si="0"/>
        <v>#N/A</v>
      </c>
      <c r="F22" s="36" t="e">
        <f>+IF(B22&gt;0,IF(E22&gt;('[1]PENALTIES'!$E$16/'[1]PENALTIES'!$D$16++'[1]PENALTIES'!$C$15),'[1]PENALTIES'!$E$16,(+IF((ABS(E22)&gt;'[1]PENALTIES'!$C$15),((ABS(E22)-+'[1]PENALTIES'!$C$15)*'[1]PENALTIES'!$D$16),"0"))),"0")</f>
        <v>#N/A</v>
      </c>
      <c r="G22" s="38">
        <f>+IF(B22&gt;0,+IF('Logger Result'!I16=1,"0",(+IF(A22&gt;0,(+'[1]PENALTIES'!$D$17),"0"))),"0")</f>
        <v>100</v>
      </c>
      <c r="H22" s="97" t="e">
        <f>+IF((F22+G22)&gt;+'[1]PENALTIES'!$E$16,+'[1]PENALTIES'!$E$16,(F22))</f>
        <v>#N/A</v>
      </c>
      <c r="I22" s="94">
        <f>+IF(B22&gt;0,('Logger Result'!K16),"")</f>
        <v>0</v>
      </c>
      <c r="J22" s="36">
        <f>+IF(I22&gt;W22+500,"0",(+'[1]PENALTIES'!$D$21))</f>
        <v>500</v>
      </c>
      <c r="K22" s="38" t="str">
        <f>+IF('Logger Result'!J16=0,"0",(+'[1]PENALTIES'!$D$24*'Logger Result'!J16))</f>
        <v>0</v>
      </c>
      <c r="L22" s="37">
        <f>+IF(B22&gt;0,+IF(U22=0,0,+'[1]PENALTIES'!$D$19),"")</f>
        <v>200</v>
      </c>
      <c r="M22" s="103" t="e">
        <f t="shared" si="1"/>
        <v>#N/A</v>
      </c>
      <c r="N22" s="19">
        <f>+'[1]Course + Sec'!C22</f>
        <v>4.023758099352052</v>
      </c>
      <c r="O22" s="19">
        <f t="shared" si="6"/>
        <v>26.850971922246217</v>
      </c>
      <c r="P22" s="17">
        <f>+'[1]Course + Sec'!D22</f>
        <v>324</v>
      </c>
      <c r="Q22" s="18" t="e">
        <f t="shared" si="2"/>
        <v>#N/A</v>
      </c>
      <c r="R22" s="18" t="e">
        <f t="shared" si="3"/>
        <v>#N/A</v>
      </c>
      <c r="S22" s="10" t="e">
        <f t="shared" si="4"/>
        <v>#N/A</v>
      </c>
      <c r="T22" s="44" t="e">
        <f t="shared" si="8"/>
        <v>#N/A</v>
      </c>
      <c r="U22" s="44">
        <f>IF((B22&gt;0),+'[1]Course + Sec'!G22,"")</f>
        <v>0.0006944444444444445</v>
      </c>
      <c r="V22" s="11" t="e">
        <f t="shared" si="7"/>
        <v>#N/A</v>
      </c>
      <c r="W22" s="58">
        <f>+'[1]Course + Sec'!E22</f>
        <v>3838.582677165354</v>
      </c>
    </row>
    <row r="23" spans="1:23" ht="15">
      <c r="A23" s="21">
        <f>IF(+'[1]Course + Sec'!A23&gt;0,+'[1]Course + Sec'!A23,"")</f>
      </c>
      <c r="B23" s="21" t="str">
        <f>+'[1]Course + Sec'!B23</f>
        <v>Sec6:</v>
      </c>
      <c r="C23" s="32" t="e">
        <f t="shared" si="5"/>
        <v>#N/A</v>
      </c>
      <c r="D23" s="33">
        <f>+IF(B23&gt;0,+ROUND(('Logger Result'!G17)*24*60*60,0)/24/60/60,"")</f>
        <v>0</v>
      </c>
      <c r="E23" s="35" t="e">
        <f t="shared" si="0"/>
        <v>#N/A</v>
      </c>
      <c r="F23" s="36" t="e">
        <f>+IF(B23&gt;0,IF(E23&gt;('[1]PENALTIES'!$E$16/'[1]PENALTIES'!$D$16++'[1]PENALTIES'!$C$15),'[1]PENALTIES'!$E$16,(+IF((ABS(E23)&gt;'[1]PENALTIES'!$C$15),((ABS(E23)-+'[1]PENALTIES'!$C$15)*'[1]PENALTIES'!$D$16),"0"))),"0")</f>
        <v>#N/A</v>
      </c>
      <c r="G23" s="38">
        <f>+IF(B23&gt;0,+IF('Logger Result'!I17=1,"0",(+IF(A23&gt;0,(+'[1]PENALTIES'!$D$17),"0"))),"0")</f>
        <v>100</v>
      </c>
      <c r="H23" s="97" t="e">
        <f>+IF((F23+G23)&gt;+'[1]PENALTIES'!$E$16,+'[1]PENALTIES'!$E$16,(F23))</f>
        <v>#N/A</v>
      </c>
      <c r="I23" s="94">
        <f>+IF(B23&gt;0,('Logger Result'!K17),"")</f>
        <v>0</v>
      </c>
      <c r="J23" s="36">
        <f>+IF(I23&gt;W23+500,"0",(+'[1]PENALTIES'!$D$21))</f>
        <v>500</v>
      </c>
      <c r="K23" s="38" t="str">
        <f>+IF('Logger Result'!J17=0,"0",(+'[1]PENALTIES'!$D$24*'Logger Result'!J17))</f>
        <v>0</v>
      </c>
      <c r="L23" s="37">
        <f>+IF(B23&gt;0,+IF(U23=0,0,+'[1]PENALTIES'!$D$19),"")</f>
        <v>0</v>
      </c>
      <c r="M23" s="103" t="e">
        <f t="shared" si="1"/>
        <v>#N/A</v>
      </c>
      <c r="N23" s="19">
        <f>+'[1]Course + Sec'!C23</f>
        <v>2.352051835853132</v>
      </c>
      <c r="O23" s="19">
        <f t="shared" si="6"/>
        <v>29.20302375809935</v>
      </c>
      <c r="P23" s="17">
        <f>+'[1]Course + Sec'!D23</f>
        <v>205</v>
      </c>
      <c r="Q23" s="18" t="e">
        <f t="shared" si="2"/>
        <v>#N/A</v>
      </c>
      <c r="R23" s="18" t="e">
        <f t="shared" si="3"/>
        <v>#N/A</v>
      </c>
      <c r="S23" s="10" t="e">
        <f t="shared" si="4"/>
        <v>#N/A</v>
      </c>
      <c r="T23" s="44" t="e">
        <f t="shared" si="8"/>
        <v>#N/A</v>
      </c>
      <c r="U23" s="44">
        <f>IF((B23&gt;0),+'[1]Course + Sec'!G23,"")</f>
        <v>0</v>
      </c>
      <c r="V23" s="11" t="e">
        <f t="shared" si="7"/>
        <v>#N/A</v>
      </c>
      <c r="W23" s="58">
        <f>+'[1]Course + Sec'!E23</f>
        <v>0</v>
      </c>
    </row>
    <row r="24" spans="1:23" ht="15">
      <c r="A24" s="21">
        <f>IF(+'[1]Course + Sec'!A24&gt;0,+'[1]Course + Sec'!A24,"")</f>
      </c>
      <c r="B24" s="21" t="str">
        <f>+'[1]Course + Sec'!B24</f>
        <v>Sec7:</v>
      </c>
      <c r="C24" s="32" t="e">
        <f t="shared" si="5"/>
        <v>#N/A</v>
      </c>
      <c r="D24" s="33">
        <f>+IF(B24&gt;0,+ROUND(('Logger Result'!G18)*24*60*60,0)/24/60/60,"")</f>
        <v>0</v>
      </c>
      <c r="E24" s="35" t="e">
        <f t="shared" si="0"/>
        <v>#N/A</v>
      </c>
      <c r="F24" s="36" t="e">
        <f>+IF(B24&gt;0,IF(E24&gt;('[1]PENALTIES'!$E$16/'[1]PENALTIES'!$D$16++'[1]PENALTIES'!$C$15),'[1]PENALTIES'!$E$16,(+IF((ABS(E24)&gt;'[1]PENALTIES'!$C$15),((ABS(E24)-+'[1]PENALTIES'!$C$15)*'[1]PENALTIES'!$D$16),"0"))),"0")</f>
        <v>#N/A</v>
      </c>
      <c r="G24" s="38">
        <f>+IF(B24&gt;0,+IF('Logger Result'!I18=1,"0",(+IF(A24&gt;0,(+'[1]PENALTIES'!$D$17),"0"))),"0")</f>
        <v>100</v>
      </c>
      <c r="H24" s="97" t="e">
        <f>+IF((F24+G24)&gt;+'[1]PENALTIES'!$E$16,+'[1]PENALTIES'!$E$16,(F24))</f>
        <v>#N/A</v>
      </c>
      <c r="I24" s="94">
        <f>+IF(B24&gt;0,('Logger Result'!K18),"")</f>
        <v>0</v>
      </c>
      <c r="J24" s="36">
        <f>+IF(I24&gt;W24+500,"0",(+'[1]PENALTIES'!$D$21))</f>
        <v>500</v>
      </c>
      <c r="K24" s="38" t="str">
        <f>+IF('Logger Result'!J18=0,"0",(+'[1]PENALTIES'!$D$24*'Logger Result'!J18))</f>
        <v>0</v>
      </c>
      <c r="L24" s="37">
        <f>+IF(B24&gt;0,+IF(U24=0,0,+'[1]PENALTIES'!$D$19),"")</f>
        <v>0</v>
      </c>
      <c r="M24" s="103" t="e">
        <f t="shared" si="1"/>
        <v>#N/A</v>
      </c>
      <c r="N24" s="19">
        <f>+'[1]Course + Sec'!C24</f>
        <v>1.3293736501079914</v>
      </c>
      <c r="O24" s="19">
        <f t="shared" si="6"/>
        <v>30.53239740820734</v>
      </c>
      <c r="P24" s="17">
        <f>+'[1]Course + Sec'!D24</f>
        <v>205</v>
      </c>
      <c r="Q24" s="18" t="e">
        <f t="shared" si="2"/>
        <v>#N/A</v>
      </c>
      <c r="R24" s="18" t="e">
        <f t="shared" si="3"/>
        <v>#N/A</v>
      </c>
      <c r="S24" s="10" t="e">
        <f t="shared" si="4"/>
        <v>#N/A</v>
      </c>
      <c r="T24" s="44" t="e">
        <f t="shared" si="8"/>
        <v>#N/A</v>
      </c>
      <c r="U24" s="44">
        <f>IF((B24&gt;0),+'[1]Course + Sec'!G24,"")</f>
        <v>0</v>
      </c>
      <c r="V24" s="11" t="e">
        <f t="shared" si="7"/>
        <v>#N/A</v>
      </c>
      <c r="W24" s="58">
        <f>+'[1]Course + Sec'!E24</f>
        <v>0</v>
      </c>
    </row>
    <row r="25" spans="1:23" ht="15">
      <c r="A25" s="21">
        <f>IF(+'[1]Course + Sec'!A25&gt;0,+'[1]Course + Sec'!A25,"")</f>
      </c>
      <c r="B25" s="21" t="str">
        <f>+'[1]Course + Sec'!B25</f>
        <v>Sec8:</v>
      </c>
      <c r="C25" s="32" t="e">
        <f t="shared" si="5"/>
        <v>#N/A</v>
      </c>
      <c r="D25" s="33">
        <f>+IF(B25&gt;0,+ROUND(('Logger Result'!G19)*24*60*60,0)/24/60/60,"")</f>
        <v>0</v>
      </c>
      <c r="E25" s="35" t="e">
        <f t="shared" si="0"/>
        <v>#N/A</v>
      </c>
      <c r="F25" s="36" t="e">
        <f>+IF(B25&gt;0,IF(E25&gt;('[1]PENALTIES'!$E$16/'[1]PENALTIES'!$D$16++'[1]PENALTIES'!$C$15),'[1]PENALTIES'!$E$16,(+IF((ABS(E25)&gt;'[1]PENALTIES'!$C$15),((ABS(E25)-+'[1]PENALTIES'!$C$15)*'[1]PENALTIES'!$D$16),"0"))),"0")</f>
        <v>#N/A</v>
      </c>
      <c r="G25" s="38">
        <f>+IF(B25&gt;0,+IF('Logger Result'!I19=1,"0",(+IF(A25&gt;0,(+'[1]PENALTIES'!$D$17),"0"))),"0")</f>
        <v>100</v>
      </c>
      <c r="H25" s="97" t="e">
        <f>+IF((F25+G25)&gt;+'[1]PENALTIES'!$E$16,+'[1]PENALTIES'!$E$16,(F25))</f>
        <v>#N/A</v>
      </c>
      <c r="I25" s="94">
        <f>+IF(B25&gt;0,('Logger Result'!K19),"")</f>
        <v>0</v>
      </c>
      <c r="J25" s="36">
        <f>+IF(I25&gt;W25+500,"0",(+'[1]PENALTIES'!$D$21))</f>
        <v>500</v>
      </c>
      <c r="K25" s="38" t="str">
        <f>+IF('Logger Result'!J19=0,"0",(+'[1]PENALTIES'!$D$24*'Logger Result'!J19))</f>
        <v>0</v>
      </c>
      <c r="L25" s="37">
        <f>+IF(B25&gt;0,+IF(U25=0,0,+'[1]PENALTIES'!$D$19),"")</f>
        <v>0</v>
      </c>
      <c r="M25" s="103" t="e">
        <f t="shared" si="1"/>
        <v>#N/A</v>
      </c>
      <c r="N25" s="19">
        <f>+'[1]Course + Sec'!C25</f>
        <v>1.9541036717062634</v>
      </c>
      <c r="O25" s="19">
        <f t="shared" si="6"/>
        <v>32.4865010799136</v>
      </c>
      <c r="P25" s="17">
        <f>+'[1]Course + Sec'!D25</f>
        <v>205</v>
      </c>
      <c r="Q25" s="18" t="e">
        <f t="shared" si="2"/>
        <v>#N/A</v>
      </c>
      <c r="R25" s="18" t="e">
        <f t="shared" si="3"/>
        <v>#N/A</v>
      </c>
      <c r="S25" s="10" t="e">
        <f t="shared" si="4"/>
        <v>#N/A</v>
      </c>
      <c r="T25" s="44" t="e">
        <f t="shared" si="8"/>
        <v>#N/A</v>
      </c>
      <c r="U25" s="44">
        <f>IF((B25&gt;0),+'[1]Course + Sec'!G25,"")</f>
        <v>0</v>
      </c>
      <c r="V25" s="11" t="e">
        <f t="shared" si="7"/>
        <v>#N/A</v>
      </c>
      <c r="W25" s="58">
        <f>+'[1]Course + Sec'!E25</f>
        <v>0</v>
      </c>
    </row>
    <row r="26" spans="1:23" ht="15">
      <c r="A26" s="21">
        <f>IF(+'[1]Course + Sec'!A26&gt;0,+'[1]Course + Sec'!A26,"")</f>
      </c>
      <c r="B26" s="21" t="str">
        <f>+'[1]Course + Sec'!B26</f>
        <v>Sec9:</v>
      </c>
      <c r="C26" s="32" t="e">
        <f t="shared" si="5"/>
        <v>#N/A</v>
      </c>
      <c r="D26" s="33">
        <f>+IF(B26&gt;0,+ROUND(('Logger Result'!G20)*24*60*60,0)/24/60/60,"")</f>
        <v>0</v>
      </c>
      <c r="E26" s="35" t="e">
        <f t="shared" si="0"/>
        <v>#N/A</v>
      </c>
      <c r="F26" s="36" t="e">
        <f>+IF(B26&gt;0,IF(E26&gt;('[1]PENALTIES'!$E$16/'[1]PENALTIES'!$D$16++'[1]PENALTIES'!$C$15),'[1]PENALTIES'!$E$16,(+IF((ABS(E26)&gt;'[1]PENALTIES'!$C$15),((ABS(E26)-+'[1]PENALTIES'!$C$15)*'[1]PENALTIES'!$D$16),"0"))),"0")</f>
        <v>#N/A</v>
      </c>
      <c r="G26" s="38">
        <f>+IF(B26&gt;0,+IF('Logger Result'!I20=1,"0",(+IF(A26&gt;0,(+'[1]PENALTIES'!$D$17),"0"))),"0")</f>
        <v>100</v>
      </c>
      <c r="H26" s="97" t="e">
        <f>+IF((F26+G26)&gt;+'[1]PENALTIES'!$E$16,+'[1]PENALTIES'!$E$16,(F26))</f>
        <v>#N/A</v>
      </c>
      <c r="I26" s="94">
        <f>+IF(B26&gt;0,('Logger Result'!K20),"")</f>
        <v>0</v>
      </c>
      <c r="J26" s="36">
        <f>+IF(I26&gt;W26+500,"0",(+'[1]PENALTIES'!$D$21))</f>
        <v>500</v>
      </c>
      <c r="K26" s="38" t="str">
        <f>+IF('Logger Result'!J20=0,"0",(+'[1]PENALTIES'!$D$24*'Logger Result'!J20))</f>
        <v>0</v>
      </c>
      <c r="L26" s="37">
        <f>+IF(B26&gt;0,+IF(U26=0,0,+'[1]PENALTIES'!$D$19),"")</f>
        <v>0</v>
      </c>
      <c r="M26" s="103" t="e">
        <f t="shared" si="1"/>
        <v>#N/A</v>
      </c>
      <c r="N26" s="19">
        <f>+'[1]Course + Sec'!C26</f>
        <v>8.543196544276459</v>
      </c>
      <c r="O26" s="19">
        <f t="shared" si="6"/>
        <v>41.029697624190064</v>
      </c>
      <c r="P26" s="17">
        <f>+'[1]Course + Sec'!D26</f>
        <v>205</v>
      </c>
      <c r="Q26" s="18" t="e">
        <f t="shared" si="2"/>
        <v>#N/A</v>
      </c>
      <c r="R26" s="18" t="e">
        <f t="shared" si="3"/>
        <v>#N/A</v>
      </c>
      <c r="S26" s="10" t="e">
        <f t="shared" si="4"/>
        <v>#N/A</v>
      </c>
      <c r="T26" s="44" t="e">
        <f t="shared" si="8"/>
        <v>#N/A</v>
      </c>
      <c r="U26" s="44">
        <f>IF((B26&gt;0),+'[1]Course + Sec'!G26,"")</f>
        <v>0</v>
      </c>
      <c r="V26" s="11" t="e">
        <f t="shared" si="7"/>
        <v>#N/A</v>
      </c>
      <c r="W26" s="58">
        <f>+'[1]Course + Sec'!E26</f>
        <v>0</v>
      </c>
    </row>
    <row r="27" spans="1:23" ht="15">
      <c r="A27" s="21">
        <f>IF(+'[1]Course + Sec'!A27&gt;0,+'[1]Course + Sec'!A27,"")</f>
        <v>4</v>
      </c>
      <c r="B27" s="21" t="str">
        <f>+'[1]Course + Sec'!B27</f>
        <v>CP4:</v>
      </c>
      <c r="C27" s="32" t="e">
        <f t="shared" si="5"/>
        <v>#N/A</v>
      </c>
      <c r="D27" s="33">
        <f>+IF(B27&gt;0,+ROUND(('Logger Result'!G21)*24*60*60,0)/24/60/60,"")</f>
        <v>0</v>
      </c>
      <c r="E27" s="35" t="e">
        <f t="shared" si="0"/>
        <v>#N/A</v>
      </c>
      <c r="F27" s="36" t="e">
        <f>+IF(B27&gt;0,IF(E27&gt;('[1]PENALTIES'!$E$16/'[1]PENALTIES'!$D$16++'[1]PENALTIES'!$C$15),'[1]PENALTIES'!$E$16,(+IF((ABS(E27)&gt;'[1]PENALTIES'!$C$15),((ABS(E27)-+'[1]PENALTIES'!$C$15)*'[1]PENALTIES'!$D$16),"0"))),"0")</f>
        <v>#N/A</v>
      </c>
      <c r="G27" s="38">
        <f>+IF(B27&gt;0,+IF('Logger Result'!I21=1,"0",(+IF(A27&gt;0,(+'[1]PENALTIES'!$D$17),"0"))),"0")</f>
        <v>100</v>
      </c>
      <c r="H27" s="97" t="e">
        <f>+IF((F27+G27)&gt;+'[1]PENALTIES'!$E$16,+'[1]PENALTIES'!$E$16,(F27))</f>
        <v>#N/A</v>
      </c>
      <c r="I27" s="94">
        <f>+IF(B27&gt;0,('Logger Result'!K21),"")</f>
        <v>0</v>
      </c>
      <c r="J27" s="36">
        <f>+IF(I27&gt;W27+500,"0",(+'[1]PENALTIES'!$D$21))</f>
        <v>500</v>
      </c>
      <c r="K27" s="38" t="str">
        <f>+IF('Logger Result'!J21=0,"0",(+'[1]PENALTIES'!$D$24*'Logger Result'!J21))</f>
        <v>0</v>
      </c>
      <c r="L27" s="37">
        <f>+IF(B27&gt;0,+IF(U27=0,0,+'[1]PENALTIES'!$D$19),"")</f>
        <v>0</v>
      </c>
      <c r="M27" s="103" t="e">
        <f t="shared" si="1"/>
        <v>#N/A</v>
      </c>
      <c r="N27" s="19">
        <f>+'[1]Course + Sec'!C27</f>
        <v>1.7651187904967602</v>
      </c>
      <c r="O27" s="19">
        <f t="shared" si="6"/>
        <v>42.79481641468682</v>
      </c>
      <c r="P27" s="17">
        <f>+'[1]Course + Sec'!D27</f>
        <v>205</v>
      </c>
      <c r="Q27" s="18" t="e">
        <f t="shared" si="2"/>
        <v>#N/A</v>
      </c>
      <c r="R27" s="18" t="e">
        <f t="shared" si="3"/>
        <v>#N/A</v>
      </c>
      <c r="S27" s="10" t="e">
        <f t="shared" si="4"/>
        <v>#N/A</v>
      </c>
      <c r="T27" s="44" t="e">
        <f t="shared" si="8"/>
        <v>#N/A</v>
      </c>
      <c r="U27" s="44">
        <f>IF((B27&gt;0),+'[1]Course + Sec'!G27,"")</f>
        <v>0</v>
      </c>
      <c r="V27" s="11" t="e">
        <f t="shared" si="7"/>
        <v>#N/A</v>
      </c>
      <c r="W27" s="58">
        <f>+'[1]Course + Sec'!E27</f>
        <v>1256.8</v>
      </c>
    </row>
    <row r="28" spans="1:23" ht="15">
      <c r="A28" s="21">
        <f>IF(+'[1]Course + Sec'!A28&gt;0,+'[1]Course + Sec'!A28,"")</f>
      </c>
      <c r="B28" s="21" t="str">
        <f>+'[1]Course + Sec'!B28</f>
        <v>Sec10:</v>
      </c>
      <c r="C28" s="32" t="e">
        <f t="shared" si="5"/>
        <v>#N/A</v>
      </c>
      <c r="D28" s="33">
        <f>+IF(B28&gt;0,+ROUND(('Logger Result'!G22)*24*60*60,0)/24/60/60,"")</f>
        <v>0</v>
      </c>
      <c r="E28" s="35" t="e">
        <f t="shared" si="0"/>
        <v>#N/A</v>
      </c>
      <c r="F28" s="36" t="e">
        <f>+IF(B28&gt;0,IF(E28&gt;('[1]PENALTIES'!$E$16/'[1]PENALTIES'!$D$16++'[1]PENALTIES'!$C$15),'[1]PENALTIES'!$E$16,(+IF((ABS(E28)&gt;'[1]PENALTIES'!$C$15),((ABS(E28)-+'[1]PENALTIES'!$C$15)*'[1]PENALTIES'!$D$16),"0"))),"0")</f>
        <v>#N/A</v>
      </c>
      <c r="G28" s="38">
        <f>+IF(B28&gt;0,+IF('Logger Result'!I22=1,"0",(+IF(A28&gt;0,(+'[1]PENALTIES'!$D$17),"0"))),"0")</f>
        <v>100</v>
      </c>
      <c r="H28" s="97" t="e">
        <f>+IF((F28+G28)&gt;+'[1]PENALTIES'!$E$16,+'[1]PENALTIES'!$E$16,(F28))</f>
        <v>#N/A</v>
      </c>
      <c r="I28" s="94">
        <f>+IF(B28&gt;0,('Logger Result'!K22),"")</f>
        <v>0</v>
      </c>
      <c r="J28" s="36">
        <f>+IF(I28&gt;W28+500,"0",(+'[1]PENALTIES'!$D$21))</f>
        <v>500</v>
      </c>
      <c r="K28" s="38" t="str">
        <f>+IF('Logger Result'!J22=0,"0",(+'[1]PENALTIES'!$D$24*'Logger Result'!J22))</f>
        <v>0</v>
      </c>
      <c r="L28" s="37">
        <f>+IF(B28&gt;0,+IF(U28=0,0,+'[1]PENALTIES'!$D$19),"")</f>
        <v>0</v>
      </c>
      <c r="M28" s="103" t="e">
        <f t="shared" si="1"/>
        <v>#N/A</v>
      </c>
      <c r="N28" s="19">
        <f>+'[1]Course + Sec'!C28</f>
        <v>3.25</v>
      </c>
      <c r="O28" s="19">
        <f t="shared" si="6"/>
        <v>46.04481641468682</v>
      </c>
      <c r="P28" s="17">
        <f>+'[1]Course + Sec'!D28</f>
        <v>150</v>
      </c>
      <c r="Q28" s="18" t="e">
        <f t="shared" si="2"/>
        <v>#N/A</v>
      </c>
      <c r="R28" s="18" t="e">
        <f t="shared" si="3"/>
        <v>#N/A</v>
      </c>
      <c r="S28" s="10" t="e">
        <f t="shared" si="4"/>
        <v>#N/A</v>
      </c>
      <c r="T28" s="44" t="e">
        <f t="shared" si="8"/>
        <v>#N/A</v>
      </c>
      <c r="U28" s="44">
        <f>IF((B28&gt;0),+'[1]Course + Sec'!G28,"")</f>
        <v>0</v>
      </c>
      <c r="V28" s="11" t="e">
        <f t="shared" si="7"/>
        <v>#N/A</v>
      </c>
      <c r="W28" s="58">
        <f>+'[1]Course + Sec'!E28</f>
        <v>0</v>
      </c>
    </row>
    <row r="29" spans="1:23" ht="15">
      <c r="A29" s="21">
        <f>IF(+'[1]Course + Sec'!A29&gt;0,+'[1]Course + Sec'!A29,"")</f>
        <v>5</v>
      </c>
      <c r="B29" s="21" t="str">
        <f>+'[1]Course + Sec'!B29</f>
        <v>CP5:</v>
      </c>
      <c r="C29" s="32" t="e">
        <f t="shared" si="5"/>
        <v>#N/A</v>
      </c>
      <c r="D29" s="33">
        <f>+IF(B29&gt;0,+ROUND(('Logger Result'!G23)*24*60*60,0)/24/60/60,"")</f>
        <v>0</v>
      </c>
      <c r="E29" s="35" t="e">
        <f t="shared" si="0"/>
        <v>#N/A</v>
      </c>
      <c r="F29" s="36" t="e">
        <f>+IF(B29&gt;0,IF(E29&gt;('[1]PENALTIES'!$E$16/'[1]PENALTIES'!$D$16++'[1]PENALTIES'!$C$15),'[1]PENALTIES'!$E$16,(+IF((ABS(E29)&gt;'[1]PENALTIES'!$C$15),((ABS(E29)-+'[1]PENALTIES'!$C$15)*'[1]PENALTIES'!$D$16),"0"))),"0")</f>
        <v>#N/A</v>
      </c>
      <c r="G29" s="38">
        <f>+IF(B29&gt;0,+IF('Logger Result'!I23=1,"0",(+IF(A29&gt;0,(+'[1]PENALTIES'!$D$17),"0"))),"0")</f>
        <v>100</v>
      </c>
      <c r="H29" s="97" t="e">
        <f>+IF((F29+G29)&gt;+'[1]PENALTIES'!$E$16,+'[1]PENALTIES'!$E$16,(F29))</f>
        <v>#N/A</v>
      </c>
      <c r="I29" s="94">
        <f>+IF(B29&gt;0,('Logger Result'!K23),"")</f>
        <v>0</v>
      </c>
      <c r="J29" s="36">
        <f>+IF(I29&gt;W29+500,"0",(+'[1]PENALTIES'!$D$21))</f>
        <v>500</v>
      </c>
      <c r="K29" s="38" t="str">
        <f>+IF('Logger Result'!J23=0,"0",(+'[1]PENALTIES'!$D$24*'Logger Result'!J23))</f>
        <v>0</v>
      </c>
      <c r="L29" s="37">
        <f>+IF(B29&gt;0,+IF(U29=0,0,+'[1]PENALTIES'!$D$19),"")</f>
        <v>200</v>
      </c>
      <c r="M29" s="103" t="e">
        <f t="shared" si="1"/>
        <v>#N/A</v>
      </c>
      <c r="N29" s="19">
        <f>+'[1]Course + Sec'!C29</f>
        <v>5.0853131749460045</v>
      </c>
      <c r="O29" s="19">
        <f t="shared" si="6"/>
        <v>51.13012958963282</v>
      </c>
      <c r="P29" s="17">
        <f>+'[1]Course + Sec'!D29</f>
        <v>150</v>
      </c>
      <c r="Q29" s="18" t="e">
        <f t="shared" si="2"/>
        <v>#N/A</v>
      </c>
      <c r="R29" s="18" t="e">
        <f t="shared" si="3"/>
        <v>#N/A</v>
      </c>
      <c r="S29" s="10" t="e">
        <f t="shared" si="4"/>
        <v>#N/A</v>
      </c>
      <c r="T29" s="44" t="e">
        <f t="shared" si="8"/>
        <v>#N/A</v>
      </c>
      <c r="U29" s="44">
        <f>IF((B29&gt;0),+'[1]Course + Sec'!G29,"")</f>
        <v>0.0006944444444444445</v>
      </c>
      <c r="V29" s="11" t="e">
        <f t="shared" si="7"/>
        <v>#N/A</v>
      </c>
      <c r="W29" s="58">
        <f>+'[1]Course + Sec'!E29</f>
        <v>4450.4593175853015</v>
      </c>
    </row>
    <row r="30" spans="1:23" ht="15">
      <c r="A30" s="21">
        <f>IF(+'[1]Course + Sec'!A30&gt;0,+'[1]Course + Sec'!A30,"")</f>
      </c>
      <c r="B30" s="21" t="str">
        <f>+'[1]Course + Sec'!B30</f>
        <v>Sec11:</v>
      </c>
      <c r="C30" s="32" t="e">
        <f t="shared" si="5"/>
        <v>#N/A</v>
      </c>
      <c r="D30" s="33">
        <f>+IF(B30&gt;0,+ROUND(('Logger Result'!G24)*24*60*60,0)/24/60/60,"")</f>
        <v>0</v>
      </c>
      <c r="E30" s="35" t="e">
        <f t="shared" si="0"/>
        <v>#N/A</v>
      </c>
      <c r="F30" s="36" t="e">
        <f>+IF(B30&gt;0,IF(E30&gt;('[1]PENALTIES'!$E$16/'[1]PENALTIES'!$D$16++'[1]PENALTIES'!$C$15),'[1]PENALTIES'!$E$16,(+IF((ABS(E30)&gt;'[1]PENALTIES'!$C$15),((ABS(E30)-+'[1]PENALTIES'!$C$15)*'[1]PENALTIES'!$D$16),"0"))),"0")</f>
        <v>#N/A</v>
      </c>
      <c r="G30" s="38">
        <f>+IF(B30&gt;0,+IF('Logger Result'!I24=1,"0",(+IF(A30&gt;0,(+'[1]PENALTIES'!$D$17),"0"))),"0")</f>
        <v>100</v>
      </c>
      <c r="H30" s="97" t="e">
        <f>+IF((F30+G30)&gt;+'[1]PENALTIES'!$E$16,+'[1]PENALTIES'!$E$16,(F30))</f>
        <v>#N/A</v>
      </c>
      <c r="I30" s="94">
        <f>+IF(B30&gt;0,('Logger Result'!K24),"")</f>
        <v>0</v>
      </c>
      <c r="J30" s="36">
        <f>+IF(I30&gt;W30+500,"0",(+'[1]PENALTIES'!$D$21))</f>
        <v>500</v>
      </c>
      <c r="K30" s="38" t="str">
        <f>+IF('Logger Result'!J24=0,"0",(+'[1]PENALTIES'!$D$24*'Logger Result'!J24))</f>
        <v>0</v>
      </c>
      <c r="L30" s="37">
        <f>+IF(B30&gt;0,+IF(U30=0,0,+'[1]PENALTIES'!$D$19),"")</f>
        <v>0</v>
      </c>
      <c r="M30" s="103" t="e">
        <f t="shared" si="1"/>
        <v>#N/A</v>
      </c>
      <c r="N30" s="19">
        <f>+'[1]Course + Sec'!C30</f>
        <v>7.2570194384449245</v>
      </c>
      <c r="O30" s="19">
        <f t="shared" si="6"/>
        <v>58.387149028077744</v>
      </c>
      <c r="P30" s="17">
        <f>+'[1]Course + Sec'!D30</f>
        <v>15</v>
      </c>
      <c r="Q30" s="18" t="e">
        <f t="shared" si="2"/>
        <v>#N/A</v>
      </c>
      <c r="R30" s="18" t="e">
        <f t="shared" si="3"/>
        <v>#N/A</v>
      </c>
      <c r="S30" s="10" t="e">
        <f t="shared" si="4"/>
        <v>#N/A</v>
      </c>
      <c r="T30" s="44" t="e">
        <f t="shared" si="8"/>
        <v>#N/A</v>
      </c>
      <c r="U30" s="44">
        <f>IF((B30&gt;0),+'[1]Course + Sec'!G30,"")</f>
        <v>0</v>
      </c>
      <c r="V30" s="11" t="e">
        <f t="shared" si="7"/>
        <v>#N/A</v>
      </c>
      <c r="W30" s="58">
        <f>+'[1]Course + Sec'!E30</f>
        <v>0</v>
      </c>
    </row>
    <row r="31" spans="1:23" ht="15">
      <c r="A31" s="21">
        <f>IF(+'[1]Course + Sec'!A31&gt;0,+'[1]Course + Sec'!A31,"")</f>
        <v>6</v>
      </c>
      <c r="B31" s="21" t="str">
        <f>+'[1]Course + Sec'!B31</f>
        <v>CP6:</v>
      </c>
      <c r="C31" s="32" t="e">
        <f t="shared" si="5"/>
        <v>#N/A</v>
      </c>
      <c r="D31" s="33">
        <f>+IF(B31&gt;0,+ROUND(('Logger Result'!G25)*24*60*60,0)/24/60/60,"")</f>
        <v>0</v>
      </c>
      <c r="E31" s="35" t="e">
        <f t="shared" si="0"/>
        <v>#N/A</v>
      </c>
      <c r="F31" s="36" t="e">
        <f>+IF(B31&gt;0,IF(E31&gt;('[1]PENALTIES'!$E$16/'[1]PENALTIES'!$D$16++'[1]PENALTIES'!$C$15),'[1]PENALTIES'!$E$16,(+IF((ABS(E31)&gt;'[1]PENALTIES'!$C$15),((ABS(E31)-+'[1]PENALTIES'!$C$15)*'[1]PENALTIES'!$D$16),"0"))),"0")</f>
        <v>#N/A</v>
      </c>
      <c r="G31" s="38">
        <f>+IF(B31&gt;0,+IF('Logger Result'!I25=1,"0",(+IF(A31&gt;0,(+'[1]PENALTIES'!$D$17),"0"))),"0")</f>
        <v>100</v>
      </c>
      <c r="H31" s="97" t="e">
        <f>+IF((F31+G31)&gt;+'[1]PENALTIES'!$E$16,+'[1]PENALTIES'!$E$16,(F31))</f>
        <v>#N/A</v>
      </c>
      <c r="I31" s="94">
        <f>+IF(B31&gt;0,('Logger Result'!K25),"")</f>
        <v>0</v>
      </c>
      <c r="J31" s="36">
        <f>+IF(I31&gt;W31+500,"0",(+'[1]PENALTIES'!$D$21))</f>
        <v>500</v>
      </c>
      <c r="K31" s="38" t="str">
        <f>+IF('Logger Result'!J25=0,"0",(+'[1]PENALTIES'!$D$24*'Logger Result'!J25))</f>
        <v>0</v>
      </c>
      <c r="L31" s="37">
        <f>+IF(B31&gt;0,+IF(U31=0,0,+'[1]PENALTIES'!$D$19),"")</f>
        <v>200</v>
      </c>
      <c r="M31" s="103" t="e">
        <f t="shared" si="1"/>
        <v>#N/A</v>
      </c>
      <c r="N31" s="19">
        <f>+'[1]Course + Sec'!C31</f>
        <v>3.6927645788336934</v>
      </c>
      <c r="O31" s="19">
        <f t="shared" si="6"/>
        <v>62.07991360691144</v>
      </c>
      <c r="P31" s="17">
        <f>+'[1]Course + Sec'!D31</f>
        <v>15</v>
      </c>
      <c r="Q31" s="18" t="e">
        <f t="shared" si="2"/>
        <v>#N/A</v>
      </c>
      <c r="R31" s="18" t="e">
        <f t="shared" si="3"/>
        <v>#N/A</v>
      </c>
      <c r="S31" s="10" t="e">
        <f t="shared" si="4"/>
        <v>#N/A</v>
      </c>
      <c r="T31" s="44" t="e">
        <f t="shared" si="8"/>
        <v>#N/A</v>
      </c>
      <c r="U31" s="44">
        <f>IF((B31&gt;0),+'[1]Course + Sec'!G31,"")</f>
        <v>0.0006944444444444445</v>
      </c>
      <c r="V31" s="11" t="e">
        <f t="shared" si="7"/>
        <v>#N/A</v>
      </c>
      <c r="W31" s="58">
        <f>+'[1]Course + Sec'!E31</f>
        <v>3559.7112860892385</v>
      </c>
    </row>
    <row r="32" spans="1:23" ht="15">
      <c r="A32" s="21">
        <f>IF(+'[1]Course + Sec'!A32&gt;0,+'[1]Course + Sec'!A32,"")</f>
      </c>
      <c r="B32" s="21" t="str">
        <f>+'[1]Course + Sec'!B32</f>
        <v>Sec12:</v>
      </c>
      <c r="C32" s="32" t="e">
        <f t="shared" si="5"/>
        <v>#N/A</v>
      </c>
      <c r="D32" s="33">
        <f>+IF(B32&gt;0,+ROUND(('Logger Result'!G26)*24*60*60,0)/24/60/60,"")</f>
        <v>0</v>
      </c>
      <c r="E32" s="35" t="e">
        <f t="shared" si="0"/>
        <v>#N/A</v>
      </c>
      <c r="F32" s="36" t="e">
        <f>+IF(B32&gt;0,IF(E32&gt;('[1]PENALTIES'!$E$16/'[1]PENALTIES'!$D$16++'[1]PENALTIES'!$C$15),'[1]PENALTIES'!$E$16,(+IF((ABS(E32)&gt;'[1]PENALTIES'!$C$15),((ABS(E32)-+'[1]PENALTIES'!$C$15)*'[1]PENALTIES'!$D$16),"0"))),"0")</f>
        <v>#N/A</v>
      </c>
      <c r="G32" s="38">
        <f>+IF(B32&gt;0,+IF('Logger Result'!I26=1,"0",(+IF(A32&gt;0,(+'[1]PENALTIES'!$D$17),"0"))),"0")</f>
        <v>100</v>
      </c>
      <c r="H32" s="97" t="e">
        <f>+IF((F32+G32)&gt;+'[1]PENALTIES'!$E$16,+'[1]PENALTIES'!$E$16,(F32))</f>
        <v>#N/A</v>
      </c>
      <c r="I32" s="94">
        <f>+IF(B32&gt;0,('Logger Result'!K26),"")</f>
        <v>0</v>
      </c>
      <c r="J32" s="36">
        <f>+IF(I32&gt;W32+500,"0",(+'[1]PENALTIES'!$D$21))</f>
        <v>500</v>
      </c>
      <c r="K32" s="38" t="str">
        <f>+IF('Logger Result'!J26=0,"0",(+'[1]PENALTIES'!$D$24*'Logger Result'!J26))</f>
        <v>0</v>
      </c>
      <c r="L32" s="37">
        <f>+IF(B32&gt;0,+IF(U32=0,0,+'[1]PENALTIES'!$D$19),"")</f>
        <v>0</v>
      </c>
      <c r="M32" s="103" t="e">
        <f t="shared" si="1"/>
        <v>#N/A</v>
      </c>
      <c r="N32" s="19">
        <f>+'[1]Course + Sec'!C32</f>
        <v>7.5161987041036715</v>
      </c>
      <c r="O32" s="19">
        <f t="shared" si="6"/>
        <v>69.5961123110151</v>
      </c>
      <c r="P32" s="17">
        <f>+'[1]Course + Sec'!D32</f>
        <v>154</v>
      </c>
      <c r="Q32" s="18" t="e">
        <f t="shared" si="2"/>
        <v>#N/A</v>
      </c>
      <c r="R32" s="18" t="e">
        <f t="shared" si="3"/>
        <v>#N/A</v>
      </c>
      <c r="S32" s="10" t="e">
        <f t="shared" si="4"/>
        <v>#N/A</v>
      </c>
      <c r="T32" s="44" t="e">
        <f t="shared" si="8"/>
        <v>#N/A</v>
      </c>
      <c r="U32" s="44">
        <f>IF((B32&gt;0),+'[1]Course + Sec'!G32,"")</f>
        <v>0</v>
      </c>
      <c r="V32" s="11" t="e">
        <f t="shared" si="7"/>
        <v>#N/A</v>
      </c>
      <c r="W32" s="58">
        <f>+'[1]Course + Sec'!E32</f>
        <v>0</v>
      </c>
    </row>
    <row r="33" spans="1:23" ht="15">
      <c r="A33" s="21">
        <f>IF(+'[1]Course + Sec'!A33&gt;0,+'[1]Course + Sec'!A33,"")</f>
      </c>
      <c r="B33" s="21" t="str">
        <f>+'[1]Course + Sec'!B33</f>
        <v>SEC13:</v>
      </c>
      <c r="C33" s="32" t="e">
        <f t="shared" si="5"/>
        <v>#N/A</v>
      </c>
      <c r="D33" s="33">
        <f>+IF(B33&gt;0,+ROUND(('Logger Result'!G27)*24*60*60,0)/24/60/60,"")</f>
        <v>0</v>
      </c>
      <c r="E33" s="35" t="e">
        <f t="shared" si="0"/>
        <v>#N/A</v>
      </c>
      <c r="F33" s="36" t="e">
        <f>+IF(B33&gt;0,IF(E33&gt;('[1]PENALTIES'!$E$16/'[1]PENALTIES'!$D$16++'[1]PENALTIES'!$C$15),'[1]PENALTIES'!$E$16,(+IF((ABS(E33)&gt;'[1]PENALTIES'!$C$15),((ABS(E33)-+'[1]PENALTIES'!$C$15)*'[1]PENALTIES'!$D$16),"0"))),"0")</f>
        <v>#N/A</v>
      </c>
      <c r="G33" s="38">
        <f>+IF(B33&gt;0,+IF('Logger Result'!I27=1,"0",(+IF(A33&gt;0,(+'[1]PENALTIES'!$D$17),"0"))),"0")</f>
        <v>100</v>
      </c>
      <c r="H33" s="97" t="e">
        <f>+IF((F33+G33)&gt;+'[1]PENALTIES'!$E$16,+'[1]PENALTIES'!$E$16,(F33))</f>
        <v>#N/A</v>
      </c>
      <c r="I33" s="94">
        <f>+IF(B33&gt;0,('Logger Result'!K27),"")</f>
        <v>0</v>
      </c>
      <c r="J33" s="36">
        <f>+IF(I33&gt;W33+500,"0",(+'[1]PENALTIES'!$D$21))</f>
        <v>500</v>
      </c>
      <c r="K33" s="38" t="str">
        <f>+IF('Logger Result'!J27=0,"0",(+'[1]PENALTIES'!$D$24*'Logger Result'!J27))</f>
        <v>0</v>
      </c>
      <c r="L33" s="37">
        <f>+IF(B33&gt;0,+IF(U33=0,0,+'[1]PENALTIES'!$D$19),"")</f>
        <v>0</v>
      </c>
      <c r="M33" s="103" t="e">
        <f t="shared" si="1"/>
        <v>#N/A</v>
      </c>
      <c r="N33" s="19">
        <f>+'[1]Course + Sec'!C33</f>
        <v>2.0026997840172784</v>
      </c>
      <c r="O33" s="19">
        <f t="shared" si="6"/>
        <v>71.59881209503239</v>
      </c>
      <c r="P33" s="17">
        <f>+'[1]Course + Sec'!D33</f>
        <v>154</v>
      </c>
      <c r="Q33" s="18" t="e">
        <f t="shared" si="2"/>
        <v>#N/A</v>
      </c>
      <c r="R33" s="18" t="e">
        <f t="shared" si="3"/>
        <v>#N/A</v>
      </c>
      <c r="S33" s="10" t="e">
        <f t="shared" si="4"/>
        <v>#N/A</v>
      </c>
      <c r="T33" s="44" t="e">
        <f t="shared" si="8"/>
        <v>#N/A</v>
      </c>
      <c r="U33" s="44">
        <f>IF((B33&gt;0),+'[1]Course + Sec'!G33,"")</f>
        <v>0</v>
      </c>
      <c r="V33" s="11" t="e">
        <f t="shared" si="7"/>
        <v>#N/A</v>
      </c>
      <c r="W33" s="58">
        <f>+'[1]Course + Sec'!E33</f>
        <v>0</v>
      </c>
    </row>
    <row r="34" spans="1:23" ht="15">
      <c r="A34" s="21">
        <f>IF(+'[1]Course + Sec'!A34&gt;0,+'[1]Course + Sec'!A34,"")</f>
        <v>7</v>
      </c>
      <c r="B34" s="21" t="str">
        <f>+'[1]Course + Sec'!B34</f>
        <v>CP7:</v>
      </c>
      <c r="C34" s="32" t="e">
        <f t="shared" si="5"/>
        <v>#N/A</v>
      </c>
      <c r="D34" s="33">
        <f>+IF(B34&gt;0,+ROUND(('Logger Result'!G28)*24*60*60,0)/24/60/60,"")</f>
        <v>0</v>
      </c>
      <c r="E34" s="35" t="e">
        <f t="shared" si="0"/>
        <v>#N/A</v>
      </c>
      <c r="F34" s="36" t="e">
        <f>+IF(B34&gt;0,IF(E34&gt;('[1]PENALTIES'!$E$16/'[1]PENALTIES'!$D$16++'[1]PENALTIES'!$C$15),'[1]PENALTIES'!$E$16,(+IF((ABS(E34)&gt;'[1]PENALTIES'!$C$15),((ABS(E34)-+'[1]PENALTIES'!$C$15)*'[1]PENALTIES'!$D$16),"0"))),"0")</f>
        <v>#N/A</v>
      </c>
      <c r="G34" s="38">
        <f>+IF(B34&gt;0,+IF('Logger Result'!I28=1,"0",(+IF(A34&gt;0,(+'[1]PENALTIES'!$D$17),"0"))),"0")</f>
        <v>100</v>
      </c>
      <c r="H34" s="97" t="e">
        <f>+IF((F34+G34)&gt;+'[1]PENALTIES'!$E$16,+'[1]PENALTIES'!$E$16,(F34))</f>
        <v>#N/A</v>
      </c>
      <c r="I34" s="94">
        <f>+IF(B34&gt;0,('Logger Result'!K28),"")</f>
        <v>0</v>
      </c>
      <c r="J34" s="36">
        <f>+IF(I34&gt;W34+500,"0",(+'[1]PENALTIES'!$D$21))</f>
        <v>500</v>
      </c>
      <c r="K34" s="38" t="str">
        <f>+IF('Logger Result'!J28=0,"0",(+'[1]PENALTIES'!$D$24*'Logger Result'!J28))</f>
        <v>0</v>
      </c>
      <c r="L34" s="37">
        <f>+IF(B34&gt;0,+IF(U34=0,0,+'[1]PENALTIES'!$D$19),"")</f>
        <v>0</v>
      </c>
      <c r="M34" s="103" t="e">
        <f t="shared" si="1"/>
        <v>#N/A</v>
      </c>
      <c r="N34" s="19">
        <f>+'[1]Course + Sec'!C34</f>
        <v>2.6193304535637147</v>
      </c>
      <c r="O34" s="19">
        <f t="shared" si="6"/>
        <v>74.2181425485961</v>
      </c>
      <c r="P34" s="17">
        <f>+'[1]Course + Sec'!D34</f>
        <v>154</v>
      </c>
      <c r="Q34" s="18" t="e">
        <f t="shared" si="2"/>
        <v>#N/A</v>
      </c>
      <c r="R34" s="18" t="e">
        <f t="shared" si="3"/>
        <v>#N/A</v>
      </c>
      <c r="S34" s="10" t="e">
        <f t="shared" si="4"/>
        <v>#N/A</v>
      </c>
      <c r="T34" s="44" t="e">
        <f t="shared" si="8"/>
        <v>#N/A</v>
      </c>
      <c r="U34" s="44">
        <f>IF((B34&gt;0),+'[1]Course + Sec'!G34,"")</f>
        <v>0</v>
      </c>
      <c r="V34" s="11" t="e">
        <f t="shared" si="7"/>
        <v>#N/A</v>
      </c>
      <c r="W34" s="58">
        <f>+'[1]Course + Sec'!E34</f>
        <v>3887.795275590551</v>
      </c>
    </row>
    <row r="35" spans="1:23" ht="15">
      <c r="A35" s="21">
        <f>IF(+'[1]Course + Sec'!A35&gt;0,+'[1]Course + Sec'!A35,"")</f>
      </c>
      <c r="B35" s="21" t="str">
        <f>+'[1]Course + Sec'!B35</f>
        <v>Sec14:</v>
      </c>
      <c r="C35" s="32" t="e">
        <f t="shared" si="5"/>
        <v>#N/A</v>
      </c>
      <c r="D35" s="33">
        <f>+IF(B35&gt;0,+ROUND(('Logger Result'!G29)*24*60*60,0)/24/60/60,"")</f>
        <v>0</v>
      </c>
      <c r="E35" s="35" t="e">
        <f t="shared" si="0"/>
        <v>#N/A</v>
      </c>
      <c r="F35" s="36" t="e">
        <f>+IF(B35&gt;0,IF(E35&gt;('[1]PENALTIES'!$E$16/'[1]PENALTIES'!$D$16++'[1]PENALTIES'!$C$15),'[1]PENALTIES'!$E$16,(+IF((ABS(E35)&gt;'[1]PENALTIES'!$C$15),((ABS(E35)-+'[1]PENALTIES'!$C$15)*'[1]PENALTIES'!$D$16),"0"))),"0")</f>
        <v>#N/A</v>
      </c>
      <c r="G35" s="38">
        <f>+IF(B35&gt;0,+IF('Logger Result'!I29=1,"0",(+IF(A35&gt;0,(+'[1]PENALTIES'!$D$17),"0"))),"0")</f>
        <v>100</v>
      </c>
      <c r="H35" s="97" t="e">
        <f>+IF((F35+G35)&gt;+'[1]PENALTIES'!$E$16,+'[1]PENALTIES'!$E$16,(F35))</f>
        <v>#N/A</v>
      </c>
      <c r="I35" s="94">
        <f>+IF(B35&gt;0,('Logger Result'!K29),"")</f>
        <v>0</v>
      </c>
      <c r="J35" s="36">
        <f>+IF(I35&gt;W35+500,"0",(+'[1]PENALTIES'!$D$21))</f>
        <v>500</v>
      </c>
      <c r="K35" s="38" t="str">
        <f>+IF('Logger Result'!J29=0,"0",(+'[1]PENALTIES'!$D$24*'Logger Result'!J29))</f>
        <v>0</v>
      </c>
      <c r="L35" s="37">
        <f>+IF(B35&gt;0,+IF(U35=0,0,+'[1]PENALTIES'!$D$19),"")</f>
        <v>0</v>
      </c>
      <c r="M35" s="103" t="e">
        <f t="shared" si="1"/>
        <v>#N/A</v>
      </c>
      <c r="N35" s="19">
        <f>+'[1]Course + Sec'!C35</f>
        <v>5.215982721382289</v>
      </c>
      <c r="O35" s="19">
        <f t="shared" si="6"/>
        <v>79.4341252699784</v>
      </c>
      <c r="P35" s="17">
        <f>+'[1]Course + Sec'!D35</f>
        <v>73</v>
      </c>
      <c r="Q35" s="18" t="e">
        <f t="shared" si="2"/>
        <v>#N/A</v>
      </c>
      <c r="R35" s="18" t="e">
        <f t="shared" si="3"/>
        <v>#N/A</v>
      </c>
      <c r="S35" s="10" t="e">
        <f t="shared" si="4"/>
        <v>#N/A</v>
      </c>
      <c r="T35" s="44" t="e">
        <f t="shared" si="8"/>
        <v>#N/A</v>
      </c>
      <c r="U35" s="44">
        <f>IF((B35&gt;0),+'[1]Course + Sec'!G35,"")</f>
        <v>0</v>
      </c>
      <c r="V35" s="11" t="e">
        <f t="shared" si="7"/>
        <v>#N/A</v>
      </c>
      <c r="W35" s="58">
        <f>+'[1]Course + Sec'!E35</f>
        <v>0</v>
      </c>
    </row>
    <row r="36" spans="1:23" ht="15">
      <c r="A36" s="21">
        <f>IF(+'[1]Course + Sec'!A36&gt;0,+'[1]Course + Sec'!A36,"")</f>
      </c>
      <c r="B36" s="21" t="str">
        <f>+'[1]Course + Sec'!B36</f>
        <v>Sec15:</v>
      </c>
      <c r="C36" s="32" t="e">
        <f t="shared" si="5"/>
        <v>#N/A</v>
      </c>
      <c r="D36" s="33">
        <f>+IF(B36&gt;0,+ROUND(('Logger Result'!G30)*24*60*60,0)/24/60/60,"")</f>
        <v>0</v>
      </c>
      <c r="E36" s="35" t="e">
        <f t="shared" si="0"/>
        <v>#N/A</v>
      </c>
      <c r="F36" s="36" t="e">
        <f>+IF(B36&gt;0,IF(E36&gt;('[1]PENALTIES'!$E$16/'[1]PENALTIES'!$D$16++'[1]PENALTIES'!$C$15),'[1]PENALTIES'!$E$16,(+IF((ABS(E36)&gt;'[1]PENALTIES'!$C$15),((ABS(E36)-+'[1]PENALTIES'!$C$15)*'[1]PENALTIES'!$D$16),"0"))),"0")</f>
        <v>#N/A</v>
      </c>
      <c r="G36" s="38">
        <f>+IF(B36&gt;0,+IF('Logger Result'!I30=1,"0",(+IF(A36&gt;0,(+'[1]PENALTIES'!$D$17),"0"))),"0")</f>
        <v>100</v>
      </c>
      <c r="H36" s="97" t="e">
        <f>+IF((F36+G36)&gt;+'[1]PENALTIES'!$E$16,+'[1]PENALTIES'!$E$16,(F36))</f>
        <v>#N/A</v>
      </c>
      <c r="I36" s="94">
        <f>+IF(B36&gt;0,('Logger Result'!K30),"")</f>
        <v>0</v>
      </c>
      <c r="J36" s="36">
        <f>+IF(I36&gt;W36+500,"0",(+'[1]PENALTIES'!$D$21))</f>
        <v>500</v>
      </c>
      <c r="K36" s="38" t="str">
        <f>+IF('Logger Result'!J30=0,"0",(+'[1]PENALTIES'!$D$24*'Logger Result'!J30))</f>
        <v>0</v>
      </c>
      <c r="L36" s="37">
        <f>+IF(B36&gt;0,+IF(U36=0,0,+'[1]PENALTIES'!$D$19),"")</f>
        <v>0</v>
      </c>
      <c r="M36" s="103" t="e">
        <f t="shared" si="1"/>
        <v>#N/A</v>
      </c>
      <c r="N36" s="19">
        <f>+'[1]Course + Sec'!C36</f>
        <v>5.43304535637149</v>
      </c>
      <c r="O36" s="19">
        <f t="shared" si="6"/>
        <v>84.86717062634989</v>
      </c>
      <c r="P36" s="17">
        <f>+'[1]Course + Sec'!D36</f>
        <v>73</v>
      </c>
      <c r="Q36" s="18" t="e">
        <f t="shared" si="2"/>
        <v>#N/A</v>
      </c>
      <c r="R36" s="18" t="e">
        <f t="shared" si="3"/>
        <v>#N/A</v>
      </c>
      <c r="S36" s="10" t="e">
        <f t="shared" si="4"/>
        <v>#N/A</v>
      </c>
      <c r="T36" s="44" t="e">
        <f t="shared" si="8"/>
        <v>#N/A</v>
      </c>
      <c r="U36" s="44">
        <f>IF((B36&gt;0),+'[1]Course + Sec'!G36,"")</f>
        <v>0</v>
      </c>
      <c r="V36" s="11" t="e">
        <f t="shared" si="7"/>
        <v>#N/A</v>
      </c>
      <c r="W36" s="58">
        <f>+'[1]Course + Sec'!E36</f>
        <v>0</v>
      </c>
    </row>
    <row r="37" spans="1:23" ht="15">
      <c r="A37" s="21">
        <f>IF(+'[1]Course + Sec'!A37&gt;0,+'[1]Course + Sec'!A37,"")</f>
        <v>8</v>
      </c>
      <c r="B37" s="21" t="str">
        <f>+'[1]Course + Sec'!B37</f>
        <v>Fin:</v>
      </c>
      <c r="C37" s="32" t="e">
        <f t="shared" si="5"/>
        <v>#N/A</v>
      </c>
      <c r="D37" s="33">
        <f>+IF(B37&gt;0,+ROUND(('Logger Result'!G31)*24*60*60,0)/24/60/60,"")</f>
        <v>0</v>
      </c>
      <c r="E37" s="35" t="e">
        <f t="shared" si="0"/>
        <v>#N/A</v>
      </c>
      <c r="F37" s="36" t="e">
        <f>+IF(B37&gt;0,IF(E37&gt;('[1]PENALTIES'!$E$16/'[1]PENALTIES'!$D$16++'[1]PENALTIES'!$C$15),'[1]PENALTIES'!$E$16,(+IF((ABS(E37)&gt;'[1]PENALTIES'!$C$15),((ABS(E37)-+'[1]PENALTIES'!$C$15)*'[1]PENALTIES'!$D$16),"0"))),"0")</f>
        <v>#N/A</v>
      </c>
      <c r="G37" s="38">
        <f>+IF(B37&gt;0,+IF('Logger Result'!I31=1,"0",(+IF(A37&gt;0,(+'[1]PENALTIES'!$D$17),"0"))),"0")</f>
        <v>100</v>
      </c>
      <c r="H37" s="97" t="e">
        <f>+IF((F37+G37)&gt;+'[1]PENALTIES'!$E$16,+'[1]PENALTIES'!$E$16,(F37))</f>
        <v>#N/A</v>
      </c>
      <c r="I37" s="94">
        <f>+IF(B37&gt;0,('Logger Result'!K31),"")</f>
        <v>0</v>
      </c>
      <c r="J37" s="36">
        <f>+IF(I37&gt;W37+500,"0",(+'[1]PENALTIES'!$D$21))</f>
        <v>500</v>
      </c>
      <c r="K37" s="38" t="str">
        <f>+IF('Logger Result'!J31=0,"0",(+'[1]PENALTIES'!$D$24*'Logger Result'!J31))</f>
        <v>0</v>
      </c>
      <c r="L37" s="37">
        <f>+IF(B37&gt;0,+IF(U37=0,0,+'[1]PENALTIES'!$D$19),"")</f>
        <v>0</v>
      </c>
      <c r="M37" s="103" t="e">
        <f t="shared" si="1"/>
        <v>#N/A</v>
      </c>
      <c r="N37" s="19">
        <f>+'[1]Course + Sec'!C37</f>
        <v>0.3126349892008639</v>
      </c>
      <c r="O37" s="19">
        <f t="shared" si="6"/>
        <v>85.17980561555075</v>
      </c>
      <c r="P37" s="17">
        <f>+'[1]Course + Sec'!D37</f>
        <v>73</v>
      </c>
      <c r="Q37" s="18" t="e">
        <f t="shared" si="2"/>
        <v>#N/A</v>
      </c>
      <c r="R37" s="18" t="e">
        <f t="shared" si="3"/>
        <v>#N/A</v>
      </c>
      <c r="S37" s="10" t="e">
        <f t="shared" si="4"/>
        <v>#N/A</v>
      </c>
      <c r="T37" s="44" t="e">
        <f t="shared" si="8"/>
        <v>#N/A</v>
      </c>
      <c r="U37" s="44">
        <f>IF((B37&gt;0),+'[1]Course + Sec'!G37,"")</f>
        <v>0</v>
      </c>
      <c r="V37" s="11" t="e">
        <f t="shared" si="7"/>
        <v>#N/A</v>
      </c>
      <c r="W37" s="58">
        <f>+'[1]Course + Sec'!E37</f>
        <v>3428.477690288714</v>
      </c>
    </row>
    <row r="38" spans="1:23" ht="15">
      <c r="A38" s="21">
        <f>IF(+'[1]Course + Sec'!A38&gt;0,+'[1]Course + Sec'!A38,"")</f>
      </c>
      <c r="B38" s="21">
        <f>+'[1]Course + Sec'!B38</f>
        <v>0</v>
      </c>
      <c r="C38" s="32">
        <f t="shared" si="5"/>
      </c>
      <c r="D38" s="33">
        <f>+IF(B38&gt;0,+ROUND(('Logger Result'!G32)*24*60*60,0)/24/60/60,"")</f>
      </c>
      <c r="E38" s="35">
        <f t="shared" si="0"/>
      </c>
      <c r="F38" s="36" t="str">
        <f>+IF(B38&gt;0,IF(E38&gt;('[1]PENALTIES'!$E$16/'[1]PENALTIES'!$D$16++'[1]PENALTIES'!$C$15),'[1]PENALTIES'!$E$16,(+IF((ABS(E38)&gt;'[1]PENALTIES'!$C$15),((ABS(E38)-+'[1]PENALTIES'!$C$15)*'[1]PENALTIES'!$D$16),"0"))),"0")</f>
        <v>0</v>
      </c>
      <c r="G38" s="38" t="str">
        <f>+IF(B38&gt;0,+IF('Logger Result'!I32=1,"0",(+IF(A38&gt;0,(+'[1]PENALTIES'!$D$17),"0"))),"0")</f>
        <v>0</v>
      </c>
      <c r="H38" s="97" t="str">
        <f>+IF((F38+G38)&gt;+'[1]PENALTIES'!$E$16,+'[1]PENALTIES'!$E$16,(F38))</f>
        <v>0</v>
      </c>
      <c r="I38" s="94">
        <f>+IF(B38&gt;0,('Logger Result'!K32),"")</f>
      </c>
      <c r="J38" s="36" t="str">
        <f>+IF(I38&gt;W38+500,"0",(+'[1]PENALTIES'!$D$21))</f>
        <v>0</v>
      </c>
      <c r="K38" s="38" t="str">
        <f>+IF('Logger Result'!J32=0,"0",(+'[1]PENALTIES'!$D$24*'Logger Result'!J32))</f>
        <v>0</v>
      </c>
      <c r="L38" s="37">
        <f>+IF(B38&gt;0,+IF(U38=0,0,+'[1]PENALTIES'!$D$19),"")</f>
      </c>
      <c r="M38" s="103">
        <f t="shared" si="1"/>
      </c>
      <c r="N38" s="19">
        <f>+'[1]Course + Sec'!C38</f>
        <v>0</v>
      </c>
      <c r="O38" s="19">
        <f t="shared" si="6"/>
        <v>85.17980561555075</v>
      </c>
      <c r="P38" s="17">
        <f>+'[1]Course + Sec'!D38</f>
        <v>0</v>
      </c>
      <c r="Q38" s="18">
        <f t="shared" si="2"/>
      </c>
      <c r="R38" s="18">
        <f t="shared" si="3"/>
      </c>
      <c r="S38" s="10">
        <f t="shared" si="4"/>
      </c>
      <c r="T38" s="44">
        <f t="shared" si="8"/>
      </c>
      <c r="U38" s="44">
        <f>IF((B38&gt;0),+'[1]Course + Sec'!G38,"")</f>
      </c>
      <c r="V38" s="11">
        <f t="shared" si="7"/>
      </c>
      <c r="W38" s="58">
        <f>+'[1]Course + Sec'!E38</f>
        <v>0</v>
      </c>
    </row>
    <row r="39" spans="1:23" ht="15">
      <c r="A39" s="21">
        <f>IF(+'[1]Course + Sec'!A39&gt;0,+'[1]Course + Sec'!A39,"")</f>
      </c>
      <c r="B39" s="21">
        <f>+'[1]Course + Sec'!B39</f>
        <v>0</v>
      </c>
      <c r="C39" s="32">
        <f t="shared" si="5"/>
      </c>
      <c r="D39" s="33">
        <f>+IF(B39&gt;0,+ROUND(('Logger Result'!G33)*24*60*60,0)/24/60/60,"")</f>
      </c>
      <c r="E39" s="35">
        <f t="shared" si="0"/>
      </c>
      <c r="F39" s="36" t="str">
        <f>+IF(B39&gt;0,IF(E39&gt;('[1]PENALTIES'!$E$16/'[1]PENALTIES'!$D$16++'[1]PENALTIES'!$C$15),'[1]PENALTIES'!$E$16,(+IF((ABS(E39)&gt;'[1]PENALTIES'!$C$15),((ABS(E39)-+'[1]PENALTIES'!$C$15)*'[1]PENALTIES'!$D$16),"0"))),"0")</f>
        <v>0</v>
      </c>
      <c r="G39" s="38" t="str">
        <f>+IF(B39&gt;0,+IF('Logger Result'!I33=1,"0",(+IF(A39&gt;0,(+'[1]PENALTIES'!$D$17),"0"))),"0")</f>
        <v>0</v>
      </c>
      <c r="H39" s="97" t="str">
        <f>+IF((F39+G39)&gt;+'[1]PENALTIES'!$E$16,+'[1]PENALTIES'!$E$16,(F39))</f>
        <v>0</v>
      </c>
      <c r="I39" s="94">
        <f>+IF(B39&gt;0,('Logger Result'!K33),"")</f>
      </c>
      <c r="J39" s="36" t="str">
        <f>+IF(I39&gt;W39+500,"0",(+'[1]PENALTIES'!$D$21))</f>
        <v>0</v>
      </c>
      <c r="K39" s="38" t="str">
        <f>+IF('Logger Result'!J33=0,"0",(+'[1]PENALTIES'!$D$24*'Logger Result'!J33))</f>
        <v>0</v>
      </c>
      <c r="L39" s="37">
        <f>+IF(B39&gt;0,+IF(U39=0,0,+'[1]PENALTIES'!$D$19),"")</f>
      </c>
      <c r="M39" s="103">
        <f t="shared" si="1"/>
      </c>
      <c r="N39" s="19">
        <f>+'[1]Course + Sec'!C39</f>
        <v>0</v>
      </c>
      <c r="O39" s="19">
        <f t="shared" si="6"/>
        <v>85.17980561555075</v>
      </c>
      <c r="P39" s="17">
        <f>+'[1]Course + Sec'!D39</f>
        <v>0</v>
      </c>
      <c r="Q39" s="18">
        <f t="shared" si="2"/>
      </c>
      <c r="R39" s="18">
        <f t="shared" si="3"/>
      </c>
      <c r="S39" s="10">
        <f t="shared" si="4"/>
      </c>
      <c r="T39" s="44">
        <f t="shared" si="8"/>
      </c>
      <c r="U39" s="44">
        <f>IF((B39&gt;0),+'[1]Course + Sec'!G39,"")</f>
      </c>
      <c r="V39" s="11">
        <f t="shared" si="7"/>
      </c>
      <c r="W39" s="58">
        <f>+'[1]Course + Sec'!E39</f>
        <v>0</v>
      </c>
    </row>
    <row r="40" spans="1:23" ht="15">
      <c r="A40" s="21">
        <f>IF(+'[1]Course + Sec'!A40&gt;0,+'[1]Course + Sec'!A40,"")</f>
      </c>
      <c r="B40" s="21">
        <f>+'[1]Course + Sec'!B40</f>
        <v>0</v>
      </c>
      <c r="C40" s="32">
        <f t="shared" si="5"/>
      </c>
      <c r="D40" s="33">
        <f>+IF(B40&gt;0,+ROUND(('Logger Result'!G34)*24*60*60,0)/24/60/60,"")</f>
      </c>
      <c r="E40" s="35">
        <f t="shared" si="0"/>
      </c>
      <c r="F40" s="36" t="str">
        <f>+IF(B40&gt;0,IF(E40&gt;('[1]PENALTIES'!$E$16/'[1]PENALTIES'!$D$16++'[1]PENALTIES'!$C$15),'[1]PENALTIES'!$E$16,(+IF((ABS(E40)&gt;'[1]PENALTIES'!$C$15),((ABS(E40)-+'[1]PENALTIES'!$C$15)*'[1]PENALTIES'!$D$16),"0"))),"0")</f>
        <v>0</v>
      </c>
      <c r="G40" s="38" t="str">
        <f>+IF(B40&gt;0,+IF('Logger Result'!I34=1,"0",(+IF(A40&gt;0,(+'[1]PENALTIES'!$D$17),"0"))),"0")</f>
        <v>0</v>
      </c>
      <c r="H40" s="97" t="str">
        <f>+IF((F40+G40)&gt;+'[1]PENALTIES'!$E$16,+'[1]PENALTIES'!$E$16,(F40))</f>
        <v>0</v>
      </c>
      <c r="I40" s="94">
        <f>+IF(B40&gt;0,('Logger Result'!K34),"")</f>
      </c>
      <c r="J40" s="36" t="str">
        <f>+IF(I40&gt;W40+500,"0",(+'[1]PENALTIES'!$D$21))</f>
        <v>0</v>
      </c>
      <c r="K40" s="38" t="str">
        <f>+IF('Logger Result'!J34=0,"0",(+'[1]PENALTIES'!$D$24*'Logger Result'!J34))</f>
        <v>0</v>
      </c>
      <c r="L40" s="37">
        <f>+IF(B40&gt;0,+IF(U40=0,0,+'[1]PENALTIES'!$D$19),"")</f>
      </c>
      <c r="M40" s="103">
        <f t="shared" si="1"/>
      </c>
      <c r="N40" s="19">
        <f>+'[1]Course + Sec'!C40</f>
        <v>0</v>
      </c>
      <c r="O40" s="19">
        <f t="shared" si="6"/>
        <v>85.17980561555075</v>
      </c>
      <c r="P40" s="17">
        <f>+'[1]Course + Sec'!D40</f>
        <v>0</v>
      </c>
      <c r="Q40" s="18">
        <f t="shared" si="2"/>
      </c>
      <c r="R40" s="18">
        <f t="shared" si="3"/>
      </c>
      <c r="S40" s="10">
        <f t="shared" si="4"/>
      </c>
      <c r="T40" s="44">
        <f t="shared" si="8"/>
      </c>
      <c r="U40" s="44">
        <f>IF((B40&gt;0),+'[1]Course + Sec'!G40,"")</f>
      </c>
      <c r="V40" s="11">
        <f t="shared" si="7"/>
      </c>
      <c r="W40" s="58">
        <f>+'[1]Course + Sec'!E40</f>
        <v>0</v>
      </c>
    </row>
    <row r="41" spans="1:23" ht="15">
      <c r="A41" s="21">
        <f>IF(+'[1]Course + Sec'!A41&gt;0,+'[1]Course + Sec'!A41,"")</f>
      </c>
      <c r="B41" s="21">
        <f>+'[1]Course + Sec'!B41</f>
        <v>0</v>
      </c>
      <c r="C41" s="32">
        <f t="shared" si="5"/>
      </c>
      <c r="D41" s="33">
        <f>+IF(B41&gt;0,+ROUND(('Logger Result'!G35)*24*60*60,0)/24/60/60,"")</f>
      </c>
      <c r="E41" s="35">
        <f t="shared" si="0"/>
      </c>
      <c r="F41" s="36" t="str">
        <f>+IF(B41&gt;0,IF(E41&gt;('[1]PENALTIES'!$E$16/'[1]PENALTIES'!$D$16++'[1]PENALTIES'!$C$15),'[1]PENALTIES'!$E$16,(+IF((ABS(E41)&gt;'[1]PENALTIES'!$C$15),((ABS(E41)-+'[1]PENALTIES'!$C$15)*'[1]PENALTIES'!$D$16),"0"))),"0")</f>
        <v>0</v>
      </c>
      <c r="G41" s="38" t="str">
        <f>+IF(B41&gt;0,+IF('Logger Result'!I35=1,"0",(+IF(A41&gt;0,(+'[1]PENALTIES'!$D$17),"0"))),"0")</f>
        <v>0</v>
      </c>
      <c r="H41" s="97" t="str">
        <f>+IF((F41+G41)&gt;+'[1]PENALTIES'!$E$16,+'[1]PENALTIES'!$E$16,(F41))</f>
        <v>0</v>
      </c>
      <c r="I41" s="94">
        <f>+IF(B41&gt;0,('Logger Result'!K35),"")</f>
      </c>
      <c r="J41" s="99" t="str">
        <f>+IF(I41&gt;W41+500,"0",(+'[1]PENALTIES'!$D$21))</f>
        <v>0</v>
      </c>
      <c r="K41" s="100" t="str">
        <f>+IF('Logger Result'!J35=0,"0",(+'[1]PENALTIES'!$D$24*'Logger Result'!J35))</f>
        <v>0</v>
      </c>
      <c r="L41" s="37">
        <f>+IF(B41&gt;0,+IF(U41=0,0,+'[1]PENALTIES'!$D$19),"")</f>
      </c>
      <c r="M41" s="103">
        <f t="shared" si="1"/>
      </c>
      <c r="N41" s="19">
        <f>+'[1]Course + Sec'!C41</f>
        <v>0</v>
      </c>
      <c r="O41" s="19">
        <f t="shared" si="6"/>
        <v>85.17980561555075</v>
      </c>
      <c r="P41" s="17">
        <f>+'[1]Course + Sec'!D41</f>
        <v>0</v>
      </c>
      <c r="Q41" s="18">
        <f t="shared" si="2"/>
      </c>
      <c r="R41" s="18">
        <f t="shared" si="3"/>
      </c>
      <c r="S41" s="10">
        <f t="shared" si="4"/>
      </c>
      <c r="T41" s="44">
        <f t="shared" si="8"/>
      </c>
      <c r="U41" s="44">
        <f>IF((B41&gt;0),+'[1]Course + Sec'!G41,"")</f>
      </c>
      <c r="V41" s="11">
        <f t="shared" si="7"/>
      </c>
      <c r="W41" s="58">
        <f>+'[1]Course + Sec'!E41</f>
        <v>0</v>
      </c>
    </row>
    <row r="42" spans="1:21" ht="12.75">
      <c r="A42" s="60">
        <f>MAX(A12:A41)</f>
        <v>8</v>
      </c>
      <c r="B42" s="15"/>
      <c r="C42" s="16"/>
      <c r="D42" s="6"/>
      <c r="E42" s="6"/>
      <c r="H42" s="98" t="e">
        <f>SUM(H12:H41)</f>
        <v>#N/A</v>
      </c>
      <c r="J42" s="96">
        <f>SUM(J12:J41)</f>
        <v>12000</v>
      </c>
      <c r="K42" s="96">
        <f>SUM(K12:K41)</f>
        <v>0</v>
      </c>
      <c r="L42" s="96">
        <f>SUM(L12:L41)</f>
        <v>600</v>
      </c>
      <c r="M42" s="103" t="e">
        <f>SUM(M12:M41)</f>
        <v>#N/A</v>
      </c>
      <c r="N42" s="19" t="str">
        <f>+'[1]Course + Sec'!D45</f>
        <v>NM</v>
      </c>
      <c r="O42" s="7" t="s">
        <v>20</v>
      </c>
      <c r="T42" s="45" t="e">
        <f>SUM(T14:T41)</f>
        <v>#N/A</v>
      </c>
      <c r="U42" s="12"/>
    </row>
    <row r="43" spans="1:19" ht="12.75">
      <c r="A43" s="5"/>
      <c r="B43" s="15"/>
      <c r="C43" s="16"/>
      <c r="D43" s="6"/>
      <c r="E43" s="6"/>
      <c r="G43" s="79"/>
      <c r="H43" s="79"/>
      <c r="I43" s="79"/>
      <c r="J43" s="79"/>
      <c r="S43" s="12"/>
    </row>
    <row r="44" spans="6:19" ht="12.75">
      <c r="F44" s="6"/>
      <c r="S44" s="12"/>
    </row>
    <row r="45" spans="1:19" ht="12.75">
      <c r="A45" s="28" t="s">
        <v>23</v>
      </c>
      <c r="B45" s="4"/>
      <c r="C45" s="39"/>
      <c r="E45" s="147" t="s">
        <v>25</v>
      </c>
      <c r="F45" s="147"/>
      <c r="G45" s="27"/>
      <c r="H45" s="91"/>
      <c r="J45" s="28" t="s">
        <v>27</v>
      </c>
      <c r="K45" s="29"/>
      <c r="L45" s="25"/>
      <c r="S45" s="12"/>
    </row>
    <row r="46" spans="1:19" ht="12.75">
      <c r="A46" s="28" t="s">
        <v>24</v>
      </c>
      <c r="B46" s="29"/>
      <c r="C46" s="34"/>
      <c r="E46" s="140" t="s">
        <v>26</v>
      </c>
      <c r="F46" s="140"/>
      <c r="G46" s="27"/>
      <c r="H46" s="91"/>
      <c r="J46" s="28" t="s">
        <v>27</v>
      </c>
      <c r="K46" s="29"/>
      <c r="L46" s="27"/>
      <c r="S46" s="12"/>
    </row>
    <row r="47" ht="13.5" thickBot="1">
      <c r="S47" s="12"/>
    </row>
    <row r="48" spans="5:19" ht="16.5" thickBot="1">
      <c r="E48" s="6"/>
      <c r="F48" s="6"/>
      <c r="K48" s="40" t="s">
        <v>28</v>
      </c>
      <c r="L48" s="41"/>
      <c r="M48" s="42" t="e">
        <f>+H42+J42+K42+L42+C45+C46+G45+G46+L45+L46</f>
        <v>#N/A</v>
      </c>
      <c r="S48" s="12"/>
    </row>
    <row r="49" spans="5:19" ht="12.75">
      <c r="E49" s="6"/>
      <c r="F49" s="6"/>
      <c r="S49" s="12"/>
    </row>
    <row r="50" spans="5:19" ht="12.75">
      <c r="E50" s="6"/>
      <c r="F50" s="6"/>
      <c r="S50" s="12"/>
    </row>
    <row r="51" spans="5:19" ht="12.75">
      <c r="E51" s="6"/>
      <c r="F51" s="6"/>
      <c r="S51" s="12"/>
    </row>
    <row r="52" spans="5:19" ht="12.75">
      <c r="E52" s="6"/>
      <c r="F52" s="6"/>
      <c r="S52" s="12"/>
    </row>
    <row r="53" spans="5:19" ht="12.75">
      <c r="E53" s="6"/>
      <c r="F53" s="6"/>
      <c r="S53" s="12"/>
    </row>
    <row r="54" spans="5:19" ht="12.75">
      <c r="E54" s="6"/>
      <c r="F54" s="6"/>
      <c r="S54" s="12"/>
    </row>
    <row r="55" spans="5:19" ht="12.75">
      <c r="E55" s="6"/>
      <c r="F55" s="6"/>
      <c r="S55" s="12"/>
    </row>
    <row r="56" spans="5:19" ht="12.75">
      <c r="E56" s="6"/>
      <c r="S56" s="12"/>
    </row>
    <row r="57" spans="5:19" ht="12.75">
      <c r="E57" s="6"/>
      <c r="S57" s="12"/>
    </row>
    <row r="58" ht="12.75">
      <c r="S58" s="12"/>
    </row>
    <row r="59" ht="12.75">
      <c r="S59" s="12"/>
    </row>
    <row r="60" ht="12.75">
      <c r="S60" s="12"/>
    </row>
    <row r="61" ht="12.75">
      <c r="S61" s="12"/>
    </row>
    <row r="62" ht="12.75">
      <c r="S62" s="12"/>
    </row>
    <row r="63" ht="12.75">
      <c r="S63" s="12"/>
    </row>
    <row r="64" ht="12.75">
      <c r="S64" s="12"/>
    </row>
    <row r="65" ht="12.75">
      <c r="S65" s="12"/>
    </row>
    <row r="66" ht="12.75">
      <c r="S66" s="12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9:12" ht="12.75">
      <c r="I68" s="6"/>
      <c r="J68" s="6"/>
      <c r="K68" s="6"/>
      <c r="L68" s="6"/>
    </row>
    <row r="69" spans="9:12" ht="12.75">
      <c r="I69" s="6"/>
      <c r="J69" s="6"/>
      <c r="K69" s="6"/>
      <c r="L69" s="6"/>
    </row>
    <row r="70" spans="9:12" ht="12.75">
      <c r="I70" s="6"/>
      <c r="J70" s="6"/>
      <c r="K70" s="6"/>
      <c r="L70" s="6"/>
    </row>
    <row r="71" spans="9:12" ht="12.75">
      <c r="I71" s="6"/>
      <c r="J71" s="6"/>
      <c r="K71" s="6"/>
      <c r="L71" s="6"/>
    </row>
    <row r="72" spans="9:12" ht="12.75">
      <c r="I72" s="6"/>
      <c r="J72" s="6"/>
      <c r="K72" s="6"/>
      <c r="L72" s="6"/>
    </row>
    <row r="73" spans="9:12" ht="12.75">
      <c r="I73" s="6"/>
      <c r="J73" s="6"/>
      <c r="K73" s="6"/>
      <c r="L73" s="6"/>
    </row>
    <row r="74" spans="9:11" ht="12.75">
      <c r="I74" s="6"/>
      <c r="J74" s="6"/>
      <c r="K74" s="6"/>
    </row>
    <row r="75" spans="9:11" ht="12.75">
      <c r="I75" s="6"/>
      <c r="J75" s="6"/>
      <c r="K75" s="6"/>
    </row>
    <row r="76" spans="9:11" ht="12.75">
      <c r="I76" s="6"/>
      <c r="J76" s="6"/>
      <c r="K76" s="6"/>
    </row>
    <row r="77" spans="9:12" ht="12.75">
      <c r="I77" s="6"/>
      <c r="J77" s="6"/>
      <c r="K77" s="6"/>
      <c r="L77" s="6"/>
    </row>
    <row r="78" spans="9:12" ht="12.75">
      <c r="I78" s="6"/>
      <c r="J78" s="6"/>
      <c r="K78" s="6"/>
      <c r="L78" s="6"/>
    </row>
    <row r="79" ht="12.75">
      <c r="L79" s="6"/>
    </row>
    <row r="80" ht="12.75">
      <c r="L80" s="6"/>
    </row>
    <row r="81" ht="12.75">
      <c r="L81" s="6"/>
    </row>
    <row r="82" ht="12.75">
      <c r="L82" s="6"/>
    </row>
    <row r="83" ht="12.75">
      <c r="L83" s="6"/>
    </row>
    <row r="84" ht="12.75">
      <c r="L84" s="6"/>
    </row>
    <row r="85" ht="12.75">
      <c r="L85" s="6"/>
    </row>
    <row r="86" ht="12.75">
      <c r="L86" s="6"/>
    </row>
    <row r="87" ht="12.75">
      <c r="L87" s="6"/>
    </row>
    <row r="88" ht="12.75">
      <c r="L88" s="6"/>
    </row>
    <row r="89" ht="12.75">
      <c r="L89" s="6"/>
    </row>
    <row r="90" ht="12.75">
      <c r="L90" s="6"/>
    </row>
    <row r="91" ht="12.75">
      <c r="L91" s="6"/>
    </row>
    <row r="92" ht="12.75">
      <c r="L92" s="6"/>
    </row>
    <row r="93" ht="12.75">
      <c r="L93" s="6"/>
    </row>
    <row r="94" ht="12.75">
      <c r="L94" s="6"/>
    </row>
    <row r="95" ht="12.75">
      <c r="L95" s="6"/>
    </row>
    <row r="96" ht="12.75">
      <c r="L96" s="6"/>
    </row>
    <row r="97" ht="12.75">
      <c r="L97" s="6"/>
    </row>
    <row r="98" ht="12.75">
      <c r="L98" s="6"/>
    </row>
    <row r="99" ht="12.75">
      <c r="L99" s="6"/>
    </row>
    <row r="100" ht="12.75">
      <c r="L100" s="6"/>
    </row>
    <row r="101" ht="12.75">
      <c r="L101" s="6"/>
    </row>
    <row r="102" ht="12.75">
      <c r="L102" s="6"/>
    </row>
    <row r="103" ht="12.75">
      <c r="L103" s="6"/>
    </row>
  </sheetData>
  <sheetProtection/>
  <mergeCells count="8">
    <mergeCell ref="E46:F46"/>
    <mergeCell ref="B7:C7"/>
    <mergeCell ref="E10:F10"/>
    <mergeCell ref="A1:L1"/>
    <mergeCell ref="A2:L2"/>
    <mergeCell ref="A3:L3"/>
    <mergeCell ref="A4:L4"/>
    <mergeCell ref="E45:F45"/>
  </mergeCells>
  <printOptions/>
  <pageMargins left="0.5511811023622047" right="0.5118110236220472" top="0.5118110236220472" bottom="0.5511811023622047" header="0.5118110236220472" footer="0.5118110236220472"/>
  <pageSetup fitToHeight="1" fitToWidth="1" horizontalDpi="120" verticalDpi="12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Hanekom</dc:creator>
  <cp:keywords/>
  <dc:description/>
  <cp:lastModifiedBy>Frank Eckard</cp:lastModifiedBy>
  <cp:lastPrinted>2011-08-29T12:11:39Z</cp:lastPrinted>
  <dcterms:created xsi:type="dcterms:W3CDTF">2002-07-27T15:01:06Z</dcterms:created>
  <dcterms:modified xsi:type="dcterms:W3CDTF">2013-08-05T09:37:13Z</dcterms:modified>
  <cp:category/>
  <cp:version/>
  <cp:contentType/>
  <cp:contentStatus/>
</cp:coreProperties>
</file>